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Sheet1" sheetId="1" r:id="rId1"/>
  </sheets>
  <definedNames>
    <definedName name="_xlnm._FilterDatabase" localSheetId="0" hidden="1">Sheet1!$A$1:$N$193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玲玲</author>
  </authors>
  <commentList>
    <comment ref="K76" authorId="0">
      <text>
        <r>
          <rPr>
            <b/>
            <sz val="9"/>
            <rFont val="宋体"/>
            <charset val="134"/>
          </rPr>
          <t>玲玲:</t>
        </r>
        <r>
          <rPr>
            <sz val="9"/>
            <rFont val="宋体"/>
            <charset val="134"/>
          </rPr>
          <t xml:space="preserve">
</t>
        </r>
      </text>
    </comment>
  </commentList>
</comments>
</file>

<file path=xl/sharedStrings.xml><?xml version="1.0" encoding="utf-8"?>
<sst xmlns="http://schemas.openxmlformats.org/spreadsheetml/2006/main" count="401" uniqueCount="191">
  <si>
    <t>排放量计算(2024年四季度）</t>
  </si>
  <si>
    <t>大气污染物排放量</t>
  </si>
  <si>
    <t>排污口编号</t>
  </si>
  <si>
    <t>排污口名称</t>
  </si>
  <si>
    <t>污染物名称</t>
  </si>
  <si>
    <t>浓度(mg/m³)</t>
  </si>
  <si>
    <t>流量(万m³)</t>
  </si>
  <si>
    <t>排放量（吨）</t>
  </si>
  <si>
    <t>备注</t>
  </si>
  <si>
    <t>10月</t>
  </si>
  <si>
    <t>11月</t>
  </si>
  <si>
    <t>12月</t>
  </si>
  <si>
    <t>合计</t>
  </si>
  <si>
    <t>DA001</t>
  </si>
  <si>
    <t>第一生产区熔炼炉、还原炉、烟化炉卫生收尘排口</t>
  </si>
  <si>
    <t>二氧化硫</t>
  </si>
  <si>
    <t>数据来源于第三方监测报告及在线监测数据</t>
  </si>
  <si>
    <t>颗粒物</t>
  </si>
  <si>
    <t>汞及其
化合物</t>
  </si>
  <si>
    <t>铅及其
化合物</t>
  </si>
  <si>
    <t>DA002</t>
  </si>
  <si>
    <t>第一生产区还原炉、烟化炉废气排口</t>
  </si>
  <si>
    <t>硫酸雾</t>
  </si>
  <si>
    <t>DA003</t>
  </si>
  <si>
    <t>第一生产区1#烟气制酸排口</t>
  </si>
  <si>
    <t>DA004</t>
  </si>
  <si>
    <t>第一生产区熔铅锅尾气排口</t>
  </si>
  <si>
    <t>数据来源于第三方监测报告</t>
  </si>
  <si>
    <t>DA005</t>
  </si>
  <si>
    <t>第一生产区多膛炉尾气排口</t>
  </si>
  <si>
    <t>全季度停产</t>
  </si>
  <si>
    <t>DA006</t>
  </si>
  <si>
    <t>第二生产区沸腾焙烧炉排口</t>
  </si>
  <si>
    <t>汞及其化合物</t>
  </si>
  <si>
    <t>DA007</t>
  </si>
  <si>
    <t>第一生产区侧吹还原炉卫生收生废气排口</t>
  </si>
  <si>
    <t>12月全月停产，数据来源于第三方监测报告及在线监测数据</t>
  </si>
  <si>
    <t>DA009</t>
  </si>
  <si>
    <t>第二生产区熔铸一系统尾气排口</t>
  </si>
  <si>
    <t>数据来源于监测报告</t>
  </si>
  <si>
    <t>DA135</t>
  </si>
  <si>
    <t>第一生产区阳极熔铅锅尾气排口</t>
  </si>
  <si>
    <t>DA136</t>
  </si>
  <si>
    <t>第一生产区反射炉排口</t>
  </si>
  <si>
    <t>DA138</t>
  </si>
  <si>
    <t>第二生产区3#沸腾焙烧炉排口</t>
  </si>
  <si>
    <t>DA251</t>
  </si>
  <si>
    <t>第一生产区多膛 炉排放口</t>
  </si>
  <si>
    <t>铅及其    化合物</t>
  </si>
  <si>
    <t>汞及其    化合物</t>
  </si>
  <si>
    <t>DA252</t>
  </si>
  <si>
    <t>第二生产区二车间锅炉房废气
排口</t>
  </si>
  <si>
    <t>氮氧化物</t>
  </si>
  <si>
    <t>DA248</t>
  </si>
  <si>
    <t>高纯锌生产区沸腾焙烧炉烟囱排口</t>
  </si>
  <si>
    <t>数据来源于在线监测数据及监测报告。</t>
  </si>
  <si>
    <t>DA249</t>
  </si>
  <si>
    <t>高纯锌生产区感应电炉排口</t>
  </si>
  <si>
    <t>DA255</t>
  </si>
  <si>
    <t>渣处理生产区干燥废气排口</t>
  </si>
  <si>
    <t>DA256</t>
  </si>
  <si>
    <t>渣处理生产区原料、输送等生产点废气排口</t>
  </si>
  <si>
    <t>DA257</t>
  </si>
  <si>
    <t>渣处理生产区粉煤制备系统废气排口</t>
  </si>
  <si>
    <t>DA258</t>
  </si>
  <si>
    <t>渣处理生产区制酸尾气烟囱排口</t>
  </si>
  <si>
    <t>数据来源于在线监测数据及第三方监测报告</t>
  </si>
  <si>
    <t>镉及其    化合物</t>
  </si>
  <si>
    <t>DA259</t>
  </si>
  <si>
    <t>渣处理生产区加料口废气排口</t>
  </si>
  <si>
    <t>DA010至DA016(共7个)排口</t>
  </si>
  <si>
    <t>电锌一车间浸出槽排口</t>
  </si>
  <si>
    <t>电锌一车间34个、电锌二车间34个排口、电锌三车间55个、电锌四车间109个硫酸雾排口排放。排放浓度及流量按照等效同类排口监测个别排口后计算所有排口总量。</t>
  </si>
  <si>
    <t>DA017至DA023
（7个）</t>
  </si>
  <si>
    <t>DA024至DA029（共6个排口）</t>
  </si>
  <si>
    <t>DA030至DA036（共7个排口）</t>
  </si>
  <si>
    <t>电锌一车间净化槽排口</t>
  </si>
  <si>
    <t>DA037至DA043（共7个排口）</t>
  </si>
  <si>
    <t>DA044至DA051（共8个排口）</t>
  </si>
  <si>
    <t>电锌二车间浸出槽排口</t>
  </si>
  <si>
    <t>DA052至DA059（共8个排口）</t>
  </si>
  <si>
    <t>DA060至DA066（共7个排口）</t>
  </si>
  <si>
    <t>DA067至DA072（共6个排口）</t>
  </si>
  <si>
    <t>电锌二车间净化槽排口</t>
  </si>
  <si>
    <t>DA073至DA077（共5个排口）</t>
  </si>
  <si>
    <t>DA078至DA090（共13个排口）</t>
  </si>
  <si>
    <t>电锌三车间浸出槽排口</t>
  </si>
  <si>
    <t>DA091至DA102（共12个排口）</t>
  </si>
  <si>
    <t>DA103至DA114（共12个排口）</t>
  </si>
  <si>
    <t>DA115至DA120（共6个排口）</t>
  </si>
  <si>
    <t>电锌三车间净化槽排口</t>
  </si>
  <si>
    <t>DA121至DA126（共6个排口）</t>
  </si>
  <si>
    <t>DA127至DA132（共6个排口）</t>
  </si>
  <si>
    <t>DA140至DA163（共24个排口）</t>
  </si>
  <si>
    <t>电锌四车间浸出槽排口</t>
  </si>
  <si>
    <t>DA164至187
（共24个排口）</t>
  </si>
  <si>
    <t>DA188至DA204、DA206至DA211及DA254（共24个排口）</t>
  </si>
  <si>
    <t>DA212至DA223（共12个排口）</t>
  </si>
  <si>
    <t>电锌四车间净化槽排口</t>
  </si>
  <si>
    <t>DA224至DA235（共12个排口）</t>
  </si>
  <si>
    <t>DA236至DA247（共12个排口）</t>
  </si>
  <si>
    <t>DA260</t>
  </si>
  <si>
    <t>硫酸锌车间1#浸出槽排口</t>
  </si>
  <si>
    <t>DA262、DA266、DA267、DA268、DA269、DA270、DA271、DA277、DA278、DA279、DA280排口对应的浸出槽本季度停用，数据来源于监测报告。</t>
  </si>
  <si>
    <t>DA261</t>
  </si>
  <si>
    <t>硫酸锌车间2#浸出槽排口</t>
  </si>
  <si>
    <t>DA262</t>
  </si>
  <si>
    <t>硫酸锌车间3#浸出槽排口</t>
  </si>
  <si>
    <t>DA263</t>
  </si>
  <si>
    <t>硫酸锌车间4#浸出槽排口</t>
  </si>
  <si>
    <t>DA264</t>
  </si>
  <si>
    <t>硫酸锌车间5#浸出槽排口</t>
  </si>
  <si>
    <t>DA265</t>
  </si>
  <si>
    <t>硫酸锌车间6#浸出槽排口</t>
  </si>
  <si>
    <t>DA266</t>
  </si>
  <si>
    <t>硫酸锌车间7#浸出槽排口</t>
  </si>
  <si>
    <t>DA267</t>
  </si>
  <si>
    <t>硫酸锌车间8#浸出槽排口</t>
  </si>
  <si>
    <t>DA268</t>
  </si>
  <si>
    <t>硫酸锌车间9#浸出槽排口</t>
  </si>
  <si>
    <t>DA269</t>
  </si>
  <si>
    <t>硫酸锌车间10#浸出槽排口</t>
  </si>
  <si>
    <t>DA270</t>
  </si>
  <si>
    <t>硫酸锌车间11#浸出槽排口</t>
  </si>
  <si>
    <t>DA271</t>
  </si>
  <si>
    <t>硫酸锌车间12#浸出槽排口</t>
  </si>
  <si>
    <t>DA272</t>
  </si>
  <si>
    <t>硫酸锌车间1#净化槽排口</t>
  </si>
  <si>
    <t>DA273</t>
  </si>
  <si>
    <t>硫酸锌车间2#净化槽排口</t>
  </si>
  <si>
    <t>DA274</t>
  </si>
  <si>
    <t>硫酸锌车间3#净化槽排口</t>
  </si>
  <si>
    <t>DA275</t>
  </si>
  <si>
    <t>硫酸锌车间4#净化槽排口</t>
  </si>
  <si>
    <t>DA276</t>
  </si>
  <si>
    <t>硫酸锌车间5#净化槽排口</t>
  </si>
  <si>
    <t>DA277</t>
  </si>
  <si>
    <t>硫酸锌车间6#净化槽排口</t>
  </si>
  <si>
    <t>DA278</t>
  </si>
  <si>
    <t>硫酸锌车间7#净化槽排口</t>
  </si>
  <si>
    <t>DA279</t>
  </si>
  <si>
    <t>硫酸锌车间8#净化槽排口</t>
  </si>
  <si>
    <t>DA280</t>
  </si>
  <si>
    <t>DA281</t>
  </si>
  <si>
    <t>第一生产区熔炼炉废气排口</t>
  </si>
  <si>
    <t>11月下旬开始停产，12月全月停产，11月月度数据采用10月报告数据，四季度数据采样上季度报告数据，数据来源于在线监测数据及第三方监测报告</t>
  </si>
  <si>
    <t xml:space="preserve">汞及其化合物
</t>
  </si>
  <si>
    <t>铅及其化合物</t>
  </si>
  <si>
    <t>氟及其化合物</t>
  </si>
  <si>
    <t>DA282</t>
  </si>
  <si>
    <t>第二生产区中频炉废气排放口</t>
  </si>
  <si>
    <t>未投产</t>
  </si>
  <si>
    <t>DA283</t>
  </si>
  <si>
    <t>第一生产区熔炼炉卫生收尘废气排口</t>
  </si>
  <si>
    <t>全季停车</t>
  </si>
  <si>
    <t xml:space="preserve">氟及其化合物
</t>
  </si>
  <si>
    <t>DA284</t>
  </si>
  <si>
    <t>第二生产区浮渣筛分废气排口</t>
  </si>
  <si>
    <t>DA285</t>
  </si>
  <si>
    <t>隔及其化合物</t>
  </si>
  <si>
    <t>DA286</t>
  </si>
  <si>
    <t>渣处理生产区干燥窑废气排口</t>
  </si>
  <si>
    <t>DA287</t>
  </si>
  <si>
    <t>渣处理生产区卫生收尘排气筒</t>
  </si>
  <si>
    <t>2024水污染物排放量</t>
  </si>
  <si>
    <t>浓度(mg/L)</t>
  </si>
  <si>
    <t>流量(m³)</t>
  </si>
  <si>
    <t>DW002</t>
  </si>
  <si>
    <t>1#排放口</t>
  </si>
  <si>
    <t>总镉</t>
  </si>
  <si>
    <t>数据来源于监测报告及在线监测数据</t>
  </si>
  <si>
    <t>总镍</t>
  </si>
  <si>
    <t>总汞</t>
  </si>
  <si>
    <t>总铅</t>
  </si>
  <si>
    <t>总砷</t>
  </si>
  <si>
    <t>化学需氧量（COD）</t>
  </si>
  <si>
    <t>氨氮</t>
  </si>
  <si>
    <t>总锌</t>
  </si>
  <si>
    <t>氟化物</t>
  </si>
  <si>
    <t>总氮</t>
  </si>
  <si>
    <t>总铊</t>
  </si>
  <si>
    <t>总铬</t>
  </si>
  <si>
    <t>总铜</t>
  </si>
  <si>
    <t>悬浮物</t>
  </si>
  <si>
    <t>硫化物</t>
  </si>
  <si>
    <t>总磷</t>
  </si>
  <si>
    <t>DW005</t>
  </si>
  <si>
    <t>车间排口</t>
  </si>
  <si>
    <t>DW005为车间废水排放口。数据来源于监测报告</t>
  </si>
  <si>
    <t>DW012</t>
  </si>
  <si>
    <t>DW012为车间废水排放口。全季度停产停排。</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</si>
</sst>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_ "/>
    <numFmt numFmtId="178" formatCode="0.000000_ "/>
    <numFmt numFmtId="179" formatCode="0.0_ "/>
    <numFmt numFmtId="180" formatCode="0.00000_ "/>
  </numFmts>
  <fonts count="26">
    <font>
      <sz val="11"/>
      <color theme="1"/>
      <name val="宋体"/>
      <charset val="134"/>
      <scheme val="minor"/>
    </font>
    <font>
      <sz val="11"/>
      <name val="宋体"/>
      <charset val="134"/>
      <scheme val="minor"/>
    </font>
    <font>
      <b/>
      <sz val="14"/>
      <name val="宋体"/>
      <charset val="134"/>
    </font>
    <font>
      <b/>
      <sz val="12"/>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1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2" applyNumberFormat="0" applyFill="0" applyAlignment="0" applyProtection="0">
      <alignment vertical="center"/>
    </xf>
    <xf numFmtId="0" fontId="11" fillId="0" borderId="12" applyNumberFormat="0" applyFill="0" applyAlignment="0" applyProtection="0">
      <alignment vertical="center"/>
    </xf>
    <xf numFmtId="0" fontId="12" fillId="0" borderId="13" applyNumberFormat="0" applyFill="0" applyAlignment="0" applyProtection="0">
      <alignment vertical="center"/>
    </xf>
    <xf numFmtId="0" fontId="12" fillId="0" borderId="0" applyNumberFormat="0" applyFill="0" applyBorder="0" applyAlignment="0" applyProtection="0">
      <alignment vertical="center"/>
    </xf>
    <xf numFmtId="0" fontId="13" fillId="3" borderId="14" applyNumberFormat="0" applyAlignment="0" applyProtection="0">
      <alignment vertical="center"/>
    </xf>
    <xf numFmtId="0" fontId="14" fillId="4" borderId="15" applyNumberFormat="0" applyAlignment="0" applyProtection="0">
      <alignment vertical="center"/>
    </xf>
    <xf numFmtId="0" fontId="15" fillId="4" borderId="14" applyNumberFormat="0" applyAlignment="0" applyProtection="0">
      <alignment vertical="center"/>
    </xf>
    <xf numFmtId="0" fontId="16" fillId="5" borderId="16" applyNumberFormat="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51">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1" xfId="0" applyFont="1" applyFill="1" applyBorder="1" applyAlignment="1">
      <alignment horizontal="center" vertical="center"/>
    </xf>
    <xf numFmtId="176" fontId="1" fillId="0" borderId="5"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176" fontId="1" fillId="0" borderId="6" xfId="0" applyNumberFormat="1" applyFont="1" applyFill="1" applyBorder="1" applyAlignment="1">
      <alignment horizontal="center" vertical="center"/>
    </xf>
    <xf numFmtId="176" fontId="1" fillId="0" borderId="7"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5"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7" xfId="0" applyFont="1" applyFill="1" applyBorder="1" applyAlignment="1">
      <alignment horizontal="center" vertical="center" wrapText="1"/>
    </xf>
    <xf numFmtId="176" fontId="4" fillId="0" borderId="7"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9" fontId="1" fillId="0" borderId="1"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9"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4" fillId="0" borderId="0" xfId="0" applyFont="1" applyFill="1" applyAlignment="1">
      <alignment horizontal="center" vertical="center"/>
    </xf>
    <xf numFmtId="0" fontId="1" fillId="0" borderId="7" xfId="0" applyFont="1" applyFill="1" applyBorder="1" applyAlignment="1">
      <alignment horizontal="center" vertical="center"/>
    </xf>
    <xf numFmtId="0" fontId="1" fillId="0" borderId="2" xfId="0" applyFont="1" applyFill="1" applyBorder="1" applyAlignment="1">
      <alignment horizontal="center" vertical="center"/>
    </xf>
    <xf numFmtId="180" fontId="1" fillId="0" borderId="1" xfId="0" applyNumberFormat="1" applyFont="1" applyFill="1" applyBorder="1" applyAlignment="1">
      <alignment horizontal="center" vertical="center"/>
    </xf>
    <xf numFmtId="0" fontId="1" fillId="0" borderId="1" xfId="0" applyFont="1" applyFill="1" applyBorder="1">
      <alignment vertical="center"/>
    </xf>
    <xf numFmtId="0" fontId="3" fillId="0" borderId="10" xfId="0" applyFont="1" applyFill="1" applyBorder="1" applyAlignment="1">
      <alignment horizontal="left"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3"/>
  <sheetViews>
    <sheetView tabSelected="1" zoomScale="85" zoomScaleNormal="85" topLeftCell="A94" workbookViewId="0">
      <selection activeCell="S158" sqref="S158"/>
    </sheetView>
  </sheetViews>
  <sheetFormatPr defaultColWidth="9" defaultRowHeight="13.5"/>
  <cols>
    <col min="1" max="1" width="10.1833333333333" style="1" customWidth="1"/>
    <col min="2" max="2" width="13.8166666666667" style="1" customWidth="1"/>
    <col min="3" max="3" width="10.9083333333333" style="1" customWidth="1"/>
    <col min="4" max="4" width="10.5416666666667" style="1" customWidth="1"/>
    <col min="5" max="5" width="10.7333333333333" style="1" customWidth="1"/>
    <col min="6" max="6" width="10.3666666666667" style="1"/>
    <col min="7" max="7" width="15.7333333333333" style="2" customWidth="1"/>
    <col min="8" max="9" width="12.6333333333333" style="2"/>
    <col min="10" max="10" width="14.9083333333333" style="1"/>
    <col min="11" max="11" width="16" style="1"/>
    <col min="12" max="12" width="11.2666666666667" style="1" customWidth="1"/>
    <col min="13" max="13" width="13.725" style="1"/>
    <col min="14" max="14" width="19.5416666666667" style="1" customWidth="1"/>
  </cols>
  <sheetData>
    <row r="1" ht="30" customHeight="1" spans="1:14">
      <c r="A1" s="3" t="s">
        <v>0</v>
      </c>
      <c r="B1" s="3"/>
      <c r="C1" s="3"/>
      <c r="D1" s="3"/>
      <c r="E1" s="3"/>
      <c r="F1" s="3"/>
      <c r="G1" s="3"/>
      <c r="H1" s="3"/>
      <c r="I1" s="3"/>
      <c r="J1" s="3"/>
      <c r="K1" s="3"/>
      <c r="L1" s="3"/>
      <c r="M1" s="3"/>
      <c r="N1" s="3"/>
    </row>
    <row r="2" ht="30" customHeight="1" spans="1:14">
      <c r="A2" s="4" t="s">
        <v>1</v>
      </c>
      <c r="B2" s="4"/>
      <c r="C2" s="4"/>
      <c r="D2" s="4"/>
      <c r="E2" s="4"/>
      <c r="F2" s="4"/>
      <c r="G2" s="5"/>
      <c r="H2" s="5"/>
      <c r="I2" s="5"/>
      <c r="J2" s="4"/>
      <c r="K2" s="4"/>
      <c r="L2" s="4"/>
      <c r="M2" s="4"/>
      <c r="N2" s="4"/>
    </row>
    <row r="3" ht="30" customHeight="1" spans="1:14">
      <c r="A3" s="6" t="s">
        <v>2</v>
      </c>
      <c r="B3" s="6" t="s">
        <v>3</v>
      </c>
      <c r="C3" s="6" t="s">
        <v>4</v>
      </c>
      <c r="D3" s="7" t="s">
        <v>5</v>
      </c>
      <c r="E3" s="8"/>
      <c r="F3" s="9"/>
      <c r="G3" s="8" t="s">
        <v>6</v>
      </c>
      <c r="H3" s="8"/>
      <c r="I3" s="9"/>
      <c r="J3" s="6" t="s">
        <v>7</v>
      </c>
      <c r="K3" s="6"/>
      <c r="L3" s="6"/>
      <c r="M3" s="6"/>
      <c r="N3" s="19" t="s">
        <v>8</v>
      </c>
    </row>
    <row r="4" ht="30" customHeight="1" spans="1:14">
      <c r="A4" s="6"/>
      <c r="B4" s="6"/>
      <c r="C4" s="6"/>
      <c r="D4" s="6" t="s">
        <v>9</v>
      </c>
      <c r="E4" s="6" t="s">
        <v>10</v>
      </c>
      <c r="F4" s="6" t="s">
        <v>11</v>
      </c>
      <c r="G4" s="6" t="s">
        <v>9</v>
      </c>
      <c r="H4" s="6" t="s">
        <v>10</v>
      </c>
      <c r="I4" s="6" t="s">
        <v>11</v>
      </c>
      <c r="J4" s="6" t="s">
        <v>9</v>
      </c>
      <c r="K4" s="6" t="s">
        <v>10</v>
      </c>
      <c r="L4" s="6" t="s">
        <v>11</v>
      </c>
      <c r="M4" s="6" t="s">
        <v>12</v>
      </c>
      <c r="N4" s="19"/>
    </row>
    <row r="5" ht="25" customHeight="1" spans="1:14">
      <c r="A5" s="10" t="s">
        <v>13</v>
      </c>
      <c r="B5" s="10" t="s">
        <v>14</v>
      </c>
      <c r="C5" s="6" t="s">
        <v>15</v>
      </c>
      <c r="D5" s="11">
        <v>17.62</v>
      </c>
      <c r="E5" s="11">
        <v>3.51</v>
      </c>
      <c r="F5" s="11">
        <v>16.78</v>
      </c>
      <c r="G5" s="12">
        <v>11091.125</v>
      </c>
      <c r="H5" s="12">
        <v>10137.973</v>
      </c>
      <c r="I5" s="12">
        <v>11318.333</v>
      </c>
      <c r="J5" s="25">
        <v>1.948</v>
      </c>
      <c r="K5" s="25">
        <v>0.52</v>
      </c>
      <c r="L5" s="25">
        <v>1.993</v>
      </c>
      <c r="M5" s="26">
        <f>J5+K5+L5</f>
        <v>4.461</v>
      </c>
      <c r="N5" s="10" t="s">
        <v>16</v>
      </c>
    </row>
    <row r="6" ht="24" customHeight="1" spans="1:14">
      <c r="A6" s="13"/>
      <c r="B6" s="13"/>
      <c r="C6" s="6" t="s">
        <v>17</v>
      </c>
      <c r="D6" s="11">
        <v>28.71</v>
      </c>
      <c r="E6" s="11">
        <v>26.37</v>
      </c>
      <c r="F6" s="11">
        <v>17.87</v>
      </c>
      <c r="G6" s="14"/>
      <c r="H6" s="14"/>
      <c r="I6" s="14"/>
      <c r="J6" s="25">
        <v>3.181</v>
      </c>
      <c r="K6" s="25">
        <v>2.642</v>
      </c>
      <c r="L6" s="25">
        <v>2.019</v>
      </c>
      <c r="M6" s="26">
        <f>J6+K6+L6</f>
        <v>7.842</v>
      </c>
      <c r="N6" s="13"/>
    </row>
    <row r="7" ht="30" customHeight="1" spans="1:14">
      <c r="A7" s="13"/>
      <c r="B7" s="13"/>
      <c r="C7" s="6" t="s">
        <v>18</v>
      </c>
      <c r="D7" s="11">
        <v>3.2e-5</v>
      </c>
      <c r="E7" s="11">
        <v>0.000107</v>
      </c>
      <c r="F7" s="11">
        <v>0.000165</v>
      </c>
      <c r="G7" s="14"/>
      <c r="H7" s="14"/>
      <c r="I7" s="14"/>
      <c r="J7" s="26">
        <f>D7*G5*10000/(1000*1000*1000)</f>
        <v>3.54916e-6</v>
      </c>
      <c r="K7" s="26">
        <f>E7*H5*10000/(1000*1000*1000)</f>
        <v>1.084763111e-5</v>
      </c>
      <c r="L7" s="26">
        <f>F7*I5*10000/(1000*1000*1000)</f>
        <v>1.867524945e-5</v>
      </c>
      <c r="M7" s="26">
        <f>SUM(J7:L7)</f>
        <v>3.307204056e-5</v>
      </c>
      <c r="N7" s="13"/>
    </row>
    <row r="8" ht="30" customHeight="1" spans="1:14">
      <c r="A8" s="13"/>
      <c r="B8" s="13"/>
      <c r="C8" s="6" t="s">
        <v>19</v>
      </c>
      <c r="D8" s="11">
        <v>0.04</v>
      </c>
      <c r="E8" s="11">
        <v>0.02</v>
      </c>
      <c r="F8" s="11">
        <v>0.132</v>
      </c>
      <c r="G8" s="14"/>
      <c r="H8" s="14"/>
      <c r="I8" s="14"/>
      <c r="J8" s="26">
        <f>D8*G5*10000/(1000*1000*1000)</f>
        <v>0.00443645</v>
      </c>
      <c r="K8" s="26">
        <f>E8*H5*10000/(1000*1000*1000)</f>
        <v>0.0020275946</v>
      </c>
      <c r="L8" s="26">
        <f>F8*I5*10000/(1000*1000*1000)</f>
        <v>0.01494019956</v>
      </c>
      <c r="M8" s="26">
        <f>SUM(J8:L8)</f>
        <v>0.02140424416</v>
      </c>
      <c r="N8" s="13"/>
    </row>
    <row r="9" ht="30" customHeight="1" spans="1:14">
      <c r="A9" s="10" t="s">
        <v>20</v>
      </c>
      <c r="B9" s="10" t="s">
        <v>21</v>
      </c>
      <c r="C9" s="6" t="s">
        <v>15</v>
      </c>
      <c r="D9" s="11">
        <v>41.452</v>
      </c>
      <c r="E9" s="11">
        <v>20.976</v>
      </c>
      <c r="F9" s="11">
        <v>9.3</v>
      </c>
      <c r="G9" s="12">
        <v>2155.273</v>
      </c>
      <c r="H9" s="12">
        <v>2028.775</v>
      </c>
      <c r="I9" s="12">
        <v>2379.302</v>
      </c>
      <c r="J9" s="26">
        <v>0.883033</v>
      </c>
      <c r="K9" s="26">
        <v>0.402402</v>
      </c>
      <c r="L9" s="26">
        <v>0.222</v>
      </c>
      <c r="M9" s="26">
        <f>SUM(J9:L9)</f>
        <v>1.507435</v>
      </c>
      <c r="N9" s="10" t="s">
        <v>16</v>
      </c>
    </row>
    <row r="10" ht="30" customHeight="1" spans="1:14">
      <c r="A10" s="13"/>
      <c r="B10" s="13"/>
      <c r="C10" s="6" t="s">
        <v>17</v>
      </c>
      <c r="D10" s="11">
        <v>10.002</v>
      </c>
      <c r="E10" s="11">
        <v>8.098</v>
      </c>
      <c r="F10" s="11">
        <v>5.04</v>
      </c>
      <c r="G10" s="14"/>
      <c r="H10" s="14"/>
      <c r="I10" s="14"/>
      <c r="J10" s="26">
        <v>0.215009</v>
      </c>
      <c r="K10" s="26">
        <v>0.1594</v>
      </c>
      <c r="L10" s="26">
        <v>0.12</v>
      </c>
      <c r="M10" s="26">
        <f>J10+K10+L10</f>
        <v>0.494409</v>
      </c>
      <c r="N10" s="13"/>
    </row>
    <row r="11" ht="30" customHeight="1" spans="1:14">
      <c r="A11" s="13"/>
      <c r="B11" s="13"/>
      <c r="C11" s="6" t="s">
        <v>18</v>
      </c>
      <c r="D11" s="11">
        <v>0.00516</v>
      </c>
      <c r="E11" s="11">
        <v>0.000138</v>
      </c>
      <c r="F11" s="11">
        <v>0.000203</v>
      </c>
      <c r="G11" s="14"/>
      <c r="H11" s="14"/>
      <c r="I11" s="14"/>
      <c r="J11" s="26">
        <f>D11*G9*10000/(1000*1000*1000)</f>
        <v>0.0001112120868</v>
      </c>
      <c r="K11" s="26">
        <f>E11*H9*10000/(1000*1000*1000)</f>
        <v>2.7997095e-6</v>
      </c>
      <c r="L11" s="26">
        <f>F11*I9*10000/(1000*1000*1000)</f>
        <v>4.82998306e-6</v>
      </c>
      <c r="M11" s="26">
        <f>J11+K11+L11</f>
        <v>0.00011884177936</v>
      </c>
      <c r="N11" s="13"/>
    </row>
    <row r="12" ht="30" customHeight="1" spans="1:14">
      <c r="A12" s="13"/>
      <c r="B12" s="13"/>
      <c r="C12" s="6" t="s">
        <v>19</v>
      </c>
      <c r="D12" s="11">
        <v>1.69</v>
      </c>
      <c r="E12" s="11">
        <v>1.29</v>
      </c>
      <c r="F12" s="11">
        <v>0.185</v>
      </c>
      <c r="G12" s="14"/>
      <c r="H12" s="14"/>
      <c r="I12" s="14"/>
      <c r="J12" s="26">
        <f>D12*G9*10000/(1000*1000*1000)</f>
        <v>0.0364241137</v>
      </c>
      <c r="K12" s="26">
        <f>E12*H9*10000/(1000*1000*1000)</f>
        <v>0.0261711975</v>
      </c>
      <c r="L12" s="26">
        <f>F12*I9*10000/(1000*1000*1000)</f>
        <v>0.0044017087</v>
      </c>
      <c r="M12" s="26">
        <f t="shared" ref="M12:M18" si="0">SUM(J12:L12)</f>
        <v>0.0669970199</v>
      </c>
      <c r="N12" s="13"/>
    </row>
    <row r="13" ht="30" customHeight="1" spans="1:14">
      <c r="A13" s="13"/>
      <c r="B13" s="13"/>
      <c r="C13" s="6" t="s">
        <v>22</v>
      </c>
      <c r="D13" s="11">
        <v>15.8</v>
      </c>
      <c r="E13" s="11">
        <v>15.8</v>
      </c>
      <c r="F13" s="11">
        <v>15.8</v>
      </c>
      <c r="G13" s="14"/>
      <c r="H13" s="14"/>
      <c r="I13" s="14"/>
      <c r="J13" s="26">
        <f>D13*G9*10000/(1000*1000*1000)</f>
        <v>0.340533134</v>
      </c>
      <c r="K13" s="26">
        <f>E13*H9*10000/(1000*1000*1000)</f>
        <v>0.32054645</v>
      </c>
      <c r="L13" s="26">
        <f>F13*I9*10000/(1000*1000*1000)</f>
        <v>0.375929716</v>
      </c>
      <c r="M13" s="26">
        <f t="shared" si="0"/>
        <v>1.0370093</v>
      </c>
      <c r="N13" s="13"/>
    </row>
    <row r="14" ht="23" customHeight="1" spans="1:14">
      <c r="A14" s="10" t="s">
        <v>23</v>
      </c>
      <c r="B14" s="10" t="s">
        <v>24</v>
      </c>
      <c r="C14" s="6" t="s">
        <v>15</v>
      </c>
      <c r="D14" s="11">
        <v>51.25</v>
      </c>
      <c r="E14" s="11">
        <v>49.04</v>
      </c>
      <c r="F14" s="11">
        <v>51.59</v>
      </c>
      <c r="G14" s="12">
        <v>3028.419</v>
      </c>
      <c r="H14" s="12">
        <v>3016.687</v>
      </c>
      <c r="I14" s="12">
        <v>3671.153</v>
      </c>
      <c r="J14" s="11">
        <v>1.561</v>
      </c>
      <c r="K14" s="11">
        <v>1.482</v>
      </c>
      <c r="L14" s="11">
        <v>1.873</v>
      </c>
      <c r="M14" s="26">
        <f t="shared" si="0"/>
        <v>4.916</v>
      </c>
      <c r="N14" s="6" t="s">
        <v>16</v>
      </c>
    </row>
    <row r="15" ht="22" customHeight="1" spans="1:14">
      <c r="A15" s="13"/>
      <c r="B15" s="13"/>
      <c r="C15" s="6" t="s">
        <v>17</v>
      </c>
      <c r="D15" s="11">
        <v>0.71</v>
      </c>
      <c r="E15" s="11">
        <v>1.07</v>
      </c>
      <c r="F15" s="11">
        <v>2.85</v>
      </c>
      <c r="G15" s="14"/>
      <c r="H15" s="14"/>
      <c r="I15" s="14"/>
      <c r="J15" s="11">
        <v>0.022</v>
      </c>
      <c r="K15" s="11">
        <v>0.033</v>
      </c>
      <c r="L15" s="11">
        <v>0.102</v>
      </c>
      <c r="M15" s="26">
        <f t="shared" si="0"/>
        <v>0.157</v>
      </c>
      <c r="N15" s="6"/>
    </row>
    <row r="16" ht="22" customHeight="1" spans="1:14">
      <c r="A16" s="13"/>
      <c r="B16" s="13"/>
      <c r="C16" s="6" t="s">
        <v>22</v>
      </c>
      <c r="D16" s="11">
        <v>8.5</v>
      </c>
      <c r="E16" s="11">
        <v>8.5</v>
      </c>
      <c r="F16" s="11">
        <v>8.5</v>
      </c>
      <c r="G16" s="14"/>
      <c r="H16" s="14"/>
      <c r="I16" s="14"/>
      <c r="J16" s="27">
        <f>D16*G14*10000/(1000*1000*1000)</f>
        <v>0.257415615</v>
      </c>
      <c r="K16" s="27">
        <f>E16*H14*10000/(1000*1000*1000)</f>
        <v>0.256418395</v>
      </c>
      <c r="L16" s="27">
        <f>F16*I14*10000/(1000*1000*1000)</f>
        <v>0.312048005</v>
      </c>
      <c r="M16" s="26">
        <f t="shared" si="0"/>
        <v>0.825882015</v>
      </c>
      <c r="N16" s="6"/>
    </row>
    <row r="17" ht="32" customHeight="1" spans="1:14">
      <c r="A17" s="13"/>
      <c r="B17" s="13"/>
      <c r="C17" s="6" t="s">
        <v>19</v>
      </c>
      <c r="D17" s="11">
        <v>0.488</v>
      </c>
      <c r="E17" s="11">
        <v>0.444</v>
      </c>
      <c r="F17" s="11">
        <v>0.06</v>
      </c>
      <c r="G17" s="14"/>
      <c r="H17" s="14"/>
      <c r="I17" s="14"/>
      <c r="J17" s="27">
        <f>D17*G14*10000/(1000*1000*1000)</f>
        <v>0.01477868472</v>
      </c>
      <c r="K17" s="27">
        <f>E17*H14*10000/(1000*1000*1000)</f>
        <v>0.01339409028</v>
      </c>
      <c r="L17" s="27">
        <f>F17*I14*10000/(1000*1000*1000)</f>
        <v>0.0022026918</v>
      </c>
      <c r="M17" s="26">
        <f t="shared" si="0"/>
        <v>0.0303754668</v>
      </c>
      <c r="N17" s="6"/>
    </row>
    <row r="18" ht="28" customHeight="1" spans="1:14">
      <c r="A18" s="13"/>
      <c r="B18" s="13"/>
      <c r="C18" s="6" t="s">
        <v>18</v>
      </c>
      <c r="D18" s="11">
        <v>0.00139</v>
      </c>
      <c r="E18" s="11">
        <v>0.000148</v>
      </c>
      <c r="F18" s="11">
        <v>0.00111</v>
      </c>
      <c r="G18" s="15"/>
      <c r="H18" s="15"/>
      <c r="I18" s="15"/>
      <c r="J18" s="26">
        <f>D18*G14*10000/(1000*1000*1000)</f>
        <v>4.20950241e-5</v>
      </c>
      <c r="K18" s="26">
        <f>E18*H14*10000/(1000*1000*1000)</f>
        <v>4.46469676e-6</v>
      </c>
      <c r="L18" s="26">
        <f>F18*I14*10000/(1000*1000*1000)</f>
        <v>4.07497983e-5</v>
      </c>
      <c r="M18" s="26">
        <f t="shared" si="0"/>
        <v>8.730951916e-5</v>
      </c>
      <c r="N18" s="6"/>
    </row>
    <row r="19" ht="22" customHeight="1" spans="1:14">
      <c r="A19" s="6" t="s">
        <v>25</v>
      </c>
      <c r="B19" s="6" t="s">
        <v>26</v>
      </c>
      <c r="C19" s="6" t="s">
        <v>17</v>
      </c>
      <c r="D19" s="11">
        <v>6.8</v>
      </c>
      <c r="E19" s="11">
        <v>6.8</v>
      </c>
      <c r="F19" s="11">
        <v>6.8</v>
      </c>
      <c r="G19" s="16">
        <f>14885*31*24/10000</f>
        <v>1107.444</v>
      </c>
      <c r="H19" s="16">
        <f>14885*30*24/10000</f>
        <v>1071.72</v>
      </c>
      <c r="I19" s="16">
        <f>14885*31*24/10000</f>
        <v>1107.444</v>
      </c>
      <c r="J19" s="26">
        <f>D19*G19*10000/(1000*1000*1000)</f>
        <v>0.075306192</v>
      </c>
      <c r="K19" s="26">
        <f>E19*H19*10000/(1000*1000*1000)</f>
        <v>0.07287696</v>
      </c>
      <c r="L19" s="26">
        <f>F19*I19*10000/(1000*1000*1000)</f>
        <v>0.075306192</v>
      </c>
      <c r="M19" s="26">
        <f>J19+K19+L19</f>
        <v>0.223489344</v>
      </c>
      <c r="N19" s="13" t="s">
        <v>27</v>
      </c>
    </row>
    <row r="20" ht="30" customHeight="1" spans="1:14">
      <c r="A20" s="6"/>
      <c r="B20" s="6"/>
      <c r="C20" s="6" t="s">
        <v>19</v>
      </c>
      <c r="D20" s="11">
        <v>0.526</v>
      </c>
      <c r="E20" s="11">
        <v>0.526</v>
      </c>
      <c r="F20" s="11">
        <v>0.526</v>
      </c>
      <c r="G20" s="16"/>
      <c r="H20" s="16"/>
      <c r="I20" s="16"/>
      <c r="J20" s="26">
        <f>D20*G19*10000/(1000*1000*1000)</f>
        <v>0.00582515544</v>
      </c>
      <c r="K20" s="26">
        <f>E20*H19*10000/(1000*1000*1000)</f>
        <v>0.0056372472</v>
      </c>
      <c r="L20" s="26">
        <f>F20*I19*10000/(1000*1000*1000)</f>
        <v>0.00582515544</v>
      </c>
      <c r="M20" s="26">
        <f>J20+K20+L20</f>
        <v>0.01728755808</v>
      </c>
      <c r="N20" s="13"/>
    </row>
    <row r="21" ht="23" customHeight="1" spans="1:14">
      <c r="A21" s="10" t="s">
        <v>28</v>
      </c>
      <c r="B21" s="10" t="s">
        <v>29</v>
      </c>
      <c r="C21" s="6" t="s">
        <v>15</v>
      </c>
      <c r="D21" s="6"/>
      <c r="E21" s="6"/>
      <c r="F21" s="6"/>
      <c r="G21" s="17"/>
      <c r="H21" s="17"/>
      <c r="I21" s="17"/>
      <c r="J21" s="26">
        <v>0</v>
      </c>
      <c r="K21" s="26">
        <v>0</v>
      </c>
      <c r="L21" s="26">
        <v>0</v>
      </c>
      <c r="M21" s="26">
        <v>0</v>
      </c>
      <c r="N21" s="10" t="s">
        <v>30</v>
      </c>
    </row>
    <row r="22" ht="22" customHeight="1" spans="1:14">
      <c r="A22" s="13"/>
      <c r="B22" s="13"/>
      <c r="C22" s="6" t="s">
        <v>17</v>
      </c>
      <c r="D22" s="6"/>
      <c r="E22" s="6"/>
      <c r="F22" s="6"/>
      <c r="G22" s="16"/>
      <c r="H22" s="16"/>
      <c r="I22" s="16"/>
      <c r="J22" s="26">
        <v>0</v>
      </c>
      <c r="K22" s="26">
        <v>0</v>
      </c>
      <c r="L22" s="26">
        <v>0</v>
      </c>
      <c r="M22" s="26">
        <v>0</v>
      </c>
      <c r="N22" s="13"/>
    </row>
    <row r="23" ht="30" customHeight="1" spans="1:14">
      <c r="A23" s="13"/>
      <c r="B23" s="13"/>
      <c r="C23" s="6" t="s">
        <v>18</v>
      </c>
      <c r="D23" s="6"/>
      <c r="E23" s="6"/>
      <c r="F23" s="6"/>
      <c r="G23" s="16"/>
      <c r="H23" s="16"/>
      <c r="I23" s="16"/>
      <c r="J23" s="26">
        <v>0</v>
      </c>
      <c r="K23" s="26">
        <v>0</v>
      </c>
      <c r="L23" s="26">
        <v>0</v>
      </c>
      <c r="M23" s="26">
        <v>0</v>
      </c>
      <c r="N23" s="13"/>
    </row>
    <row r="24" ht="30" customHeight="1" spans="1:14">
      <c r="A24" s="13"/>
      <c r="B24" s="13"/>
      <c r="C24" s="6" t="s">
        <v>19</v>
      </c>
      <c r="D24" s="6"/>
      <c r="E24" s="6"/>
      <c r="F24" s="6"/>
      <c r="G24" s="18"/>
      <c r="H24" s="18"/>
      <c r="I24" s="18"/>
      <c r="J24" s="26">
        <v>0</v>
      </c>
      <c r="K24" s="26">
        <v>0</v>
      </c>
      <c r="L24" s="26">
        <v>0</v>
      </c>
      <c r="M24" s="26">
        <v>0</v>
      </c>
      <c r="N24" s="13"/>
    </row>
    <row r="25" ht="30" customHeight="1" spans="1:14">
      <c r="A25" s="10" t="s">
        <v>31</v>
      </c>
      <c r="B25" s="10" t="s">
        <v>32</v>
      </c>
      <c r="C25" s="19" t="s">
        <v>15</v>
      </c>
      <c r="D25" s="19"/>
      <c r="E25" s="19"/>
      <c r="F25" s="19"/>
      <c r="G25" s="20"/>
      <c r="H25" s="20"/>
      <c r="I25" s="20"/>
      <c r="J25" s="28">
        <v>0</v>
      </c>
      <c r="K25" s="28">
        <v>0</v>
      </c>
      <c r="L25" s="28">
        <v>0</v>
      </c>
      <c r="M25" s="28">
        <f>J25+K25+L25</f>
        <v>0</v>
      </c>
      <c r="N25" s="10" t="s">
        <v>30</v>
      </c>
    </row>
    <row r="26" ht="30" customHeight="1" spans="1:14">
      <c r="A26" s="13"/>
      <c r="B26" s="13"/>
      <c r="C26" s="19" t="s">
        <v>17</v>
      </c>
      <c r="D26" s="19"/>
      <c r="E26" s="19"/>
      <c r="F26" s="19"/>
      <c r="G26" s="21"/>
      <c r="H26" s="21"/>
      <c r="I26" s="21"/>
      <c r="J26" s="28">
        <v>0</v>
      </c>
      <c r="K26" s="28">
        <v>0</v>
      </c>
      <c r="L26" s="28">
        <v>0</v>
      </c>
      <c r="M26" s="28">
        <f>J26+K26+L26</f>
        <v>0</v>
      </c>
      <c r="N26" s="13"/>
    </row>
    <row r="27" ht="30" customHeight="1" spans="1:14">
      <c r="A27" s="13"/>
      <c r="B27" s="13"/>
      <c r="C27" s="6" t="s">
        <v>33</v>
      </c>
      <c r="D27" s="19"/>
      <c r="E27" s="19"/>
      <c r="F27" s="19"/>
      <c r="G27" s="21"/>
      <c r="H27" s="21"/>
      <c r="I27" s="21"/>
      <c r="J27" s="28">
        <f>D27*G25*10000/1000/1000</f>
        <v>0</v>
      </c>
      <c r="K27" s="28">
        <f>E27*H25*10000/1000/1000</f>
        <v>0</v>
      </c>
      <c r="L27" s="28">
        <f>F27*I25*10000/1000/1000</f>
        <v>0</v>
      </c>
      <c r="M27" s="28">
        <v>0</v>
      </c>
      <c r="N27" s="13"/>
    </row>
    <row r="28" ht="32" customHeight="1" spans="1:14">
      <c r="A28" s="13"/>
      <c r="B28" s="13"/>
      <c r="C28" s="6" t="s">
        <v>19</v>
      </c>
      <c r="D28" s="19"/>
      <c r="E28" s="19"/>
      <c r="F28" s="19"/>
      <c r="G28" s="21"/>
      <c r="H28" s="21"/>
      <c r="I28" s="21"/>
      <c r="J28" s="28">
        <v>0</v>
      </c>
      <c r="K28" s="28">
        <v>0</v>
      </c>
      <c r="L28" s="28">
        <v>0</v>
      </c>
      <c r="M28" s="28">
        <v>0</v>
      </c>
      <c r="N28" s="13"/>
    </row>
    <row r="29" ht="23" customHeight="1" spans="1:14">
      <c r="A29" s="13"/>
      <c r="B29" s="13"/>
      <c r="C29" s="19" t="s">
        <v>22</v>
      </c>
      <c r="D29" s="19"/>
      <c r="E29" s="19"/>
      <c r="F29" s="19"/>
      <c r="G29" s="21"/>
      <c r="H29" s="21"/>
      <c r="I29" s="21"/>
      <c r="J29" s="28">
        <v>0</v>
      </c>
      <c r="K29" s="28">
        <v>0</v>
      </c>
      <c r="L29" s="28">
        <v>0</v>
      </c>
      <c r="M29" s="28">
        <v>0</v>
      </c>
      <c r="N29" s="13"/>
    </row>
    <row r="30" ht="23" customHeight="1" spans="1:14">
      <c r="A30" s="10" t="s">
        <v>34</v>
      </c>
      <c r="B30" s="10" t="s">
        <v>35</v>
      </c>
      <c r="C30" s="19" t="s">
        <v>15</v>
      </c>
      <c r="D30" s="19">
        <v>114.908</v>
      </c>
      <c r="E30" s="19">
        <v>87.73</v>
      </c>
      <c r="F30" s="19"/>
      <c r="G30" s="20">
        <v>900.184</v>
      </c>
      <c r="H30" s="20">
        <v>1141.705</v>
      </c>
      <c r="I30" s="20"/>
      <c r="J30" s="28">
        <v>1.285</v>
      </c>
      <c r="K30" s="28">
        <v>1.931</v>
      </c>
      <c r="L30" s="28">
        <v>0</v>
      </c>
      <c r="M30" s="28">
        <f>J30+K30+L30</f>
        <v>3.216</v>
      </c>
      <c r="N30" s="10" t="s">
        <v>36</v>
      </c>
    </row>
    <row r="31" ht="22" customHeight="1" spans="1:14">
      <c r="A31" s="13"/>
      <c r="B31" s="13"/>
      <c r="C31" s="19" t="s">
        <v>17</v>
      </c>
      <c r="D31" s="19">
        <v>19.07</v>
      </c>
      <c r="E31" s="19">
        <v>20.52</v>
      </c>
      <c r="F31" s="19"/>
      <c r="G31" s="21"/>
      <c r="H31" s="21"/>
      <c r="I31" s="21"/>
      <c r="J31" s="28">
        <v>0.217</v>
      </c>
      <c r="K31" s="28">
        <v>0.27</v>
      </c>
      <c r="L31" s="28">
        <v>0</v>
      </c>
      <c r="M31" s="28">
        <f>J31+K31+L31</f>
        <v>0.487</v>
      </c>
      <c r="N31" s="13"/>
    </row>
    <row r="32" ht="30" customHeight="1" spans="1:14">
      <c r="A32" s="13"/>
      <c r="B32" s="13"/>
      <c r="C32" s="6" t="s">
        <v>18</v>
      </c>
      <c r="D32" s="19">
        <v>0.00178</v>
      </c>
      <c r="E32" s="19">
        <v>0.00178</v>
      </c>
      <c r="F32" s="19"/>
      <c r="G32" s="21"/>
      <c r="H32" s="21"/>
      <c r="I32" s="21"/>
      <c r="J32" s="28">
        <f>D32*G30*10000/(1000*1000*1000)</f>
        <v>1.60232752e-5</v>
      </c>
      <c r="K32" s="28">
        <f>E32*H30*10000/(1000*1000*1000)</f>
        <v>2.0322349e-5</v>
      </c>
      <c r="L32" s="28">
        <f>F32*I30*10000/(1000*1000*1000)</f>
        <v>0</v>
      </c>
      <c r="M32" s="28">
        <f>J32+K32+L32</f>
        <v>3.63456242e-5</v>
      </c>
      <c r="N32" s="13"/>
    </row>
    <row r="33" ht="34" customHeight="1" spans="1:14">
      <c r="A33" s="13"/>
      <c r="B33" s="13"/>
      <c r="C33" s="6" t="s">
        <v>19</v>
      </c>
      <c r="D33" s="19">
        <v>3.04</v>
      </c>
      <c r="E33" s="19">
        <v>3.04</v>
      </c>
      <c r="F33" s="19"/>
      <c r="G33" s="21"/>
      <c r="H33" s="21"/>
      <c r="I33" s="21"/>
      <c r="J33" s="28">
        <f>D33*G30*10000/(1000*1000*1000)</f>
        <v>0.0273655936</v>
      </c>
      <c r="K33" s="28">
        <f>E33*H30*10000/(1000*1000*1000)</f>
        <v>0.034707832</v>
      </c>
      <c r="L33" s="28">
        <f>F33*I30*10000/(1000*1000*1000)</f>
        <v>0</v>
      </c>
      <c r="M33" s="28">
        <f>J33+K33+L33</f>
        <v>0.0620734256</v>
      </c>
      <c r="N33" s="13"/>
    </row>
    <row r="34" ht="46" customHeight="1" spans="1:14">
      <c r="A34" s="6" t="s">
        <v>37</v>
      </c>
      <c r="B34" s="6" t="s">
        <v>38</v>
      </c>
      <c r="C34" s="19" t="s">
        <v>17</v>
      </c>
      <c r="D34" s="19">
        <v>6.6</v>
      </c>
      <c r="E34" s="19">
        <v>6.6</v>
      </c>
      <c r="F34" s="19">
        <v>6.6</v>
      </c>
      <c r="G34" s="22">
        <f>22500*24*31/(10000)</f>
        <v>1674</v>
      </c>
      <c r="H34" s="22">
        <f>22500*24*30/(10000)</f>
        <v>1620</v>
      </c>
      <c r="I34" s="22">
        <f>22500*24*31/(10000)</f>
        <v>1674</v>
      </c>
      <c r="J34" s="28">
        <f>D34*G34*10000/(1000*1000*1000)</f>
        <v>0.110484</v>
      </c>
      <c r="K34" s="28">
        <f>E34*H34*10000/(1000*1000*1000)</f>
        <v>0.10692</v>
      </c>
      <c r="L34" s="28">
        <f>F34*I34*10000/(1000*1000*1000)</f>
        <v>0.110484</v>
      </c>
      <c r="M34" s="28">
        <f>SUM(J34:L34)</f>
        <v>0.327888</v>
      </c>
      <c r="N34" s="6" t="s">
        <v>39</v>
      </c>
    </row>
    <row r="35" ht="30" customHeight="1" spans="1:14">
      <c r="A35" s="10" t="s">
        <v>40</v>
      </c>
      <c r="B35" s="10" t="s">
        <v>41</v>
      </c>
      <c r="C35" s="19" t="s">
        <v>17</v>
      </c>
      <c r="D35" s="19">
        <v>8.8</v>
      </c>
      <c r="E35" s="19">
        <v>8.8</v>
      </c>
      <c r="F35" s="19">
        <v>8.8</v>
      </c>
      <c r="G35" s="20">
        <f>2805*31*24/10000</f>
        <v>208.692</v>
      </c>
      <c r="H35" s="20">
        <f>2805*30*24/10000</f>
        <v>201.96</v>
      </c>
      <c r="I35" s="20">
        <f>2805*31*24/10000</f>
        <v>208.692</v>
      </c>
      <c r="J35" s="28">
        <f>D35*G35*10000/(1000*1000*1000)</f>
        <v>0.018364896</v>
      </c>
      <c r="K35" s="28">
        <f>E35*H35*10000/(1000*1000*1000)</f>
        <v>0.01777248</v>
      </c>
      <c r="L35" s="28">
        <f>F35*I35*10000/(1000*1000*1000)</f>
        <v>0.018364896</v>
      </c>
      <c r="M35" s="28">
        <f t="shared" ref="M35:M40" si="1">J35+K35+L35</f>
        <v>0.054502272</v>
      </c>
      <c r="N35" s="10" t="s">
        <v>39</v>
      </c>
    </row>
    <row r="36" ht="30" customHeight="1" spans="1:14">
      <c r="A36" s="23"/>
      <c r="B36" s="23"/>
      <c r="C36" s="6" t="s">
        <v>19</v>
      </c>
      <c r="D36" s="19">
        <v>0.05</v>
      </c>
      <c r="E36" s="19">
        <v>0.05</v>
      </c>
      <c r="F36" s="19">
        <v>0.05</v>
      </c>
      <c r="G36" s="24"/>
      <c r="H36" s="24"/>
      <c r="I36" s="24"/>
      <c r="J36" s="28">
        <f>D36*G35*10000/(1000*1000*1000)</f>
        <v>0.000104346</v>
      </c>
      <c r="K36" s="28">
        <f>E36*H35*10000/(1000*1000*1000)</f>
        <v>0.00010098</v>
      </c>
      <c r="L36" s="28">
        <f>F36*I35*10000/(1000*1000*1000)</f>
        <v>0.000104346</v>
      </c>
      <c r="M36" s="28">
        <f t="shared" si="1"/>
        <v>0.000309672</v>
      </c>
      <c r="N36" s="23"/>
    </row>
    <row r="37" ht="30" customHeight="1" spans="1:14">
      <c r="A37" s="10" t="s">
        <v>42</v>
      </c>
      <c r="B37" s="10" t="s">
        <v>43</v>
      </c>
      <c r="C37" s="19" t="s">
        <v>15</v>
      </c>
      <c r="D37" s="19">
        <v>16</v>
      </c>
      <c r="E37" s="19">
        <v>16</v>
      </c>
      <c r="F37" s="19">
        <v>16</v>
      </c>
      <c r="G37" s="20">
        <f>17891*24*31/10000</f>
        <v>1331.0904</v>
      </c>
      <c r="H37" s="20">
        <f>17891*24*30/10000</f>
        <v>1288.152</v>
      </c>
      <c r="I37" s="20">
        <f>17891*24*31/10000</f>
        <v>1331.0904</v>
      </c>
      <c r="J37" s="28">
        <f>D37*G37*10000/(1000*1000*1000)</f>
        <v>0.212974464</v>
      </c>
      <c r="K37" s="28">
        <f>E37*H37*10000/(1000*1000*1000)</f>
        <v>0.20610432</v>
      </c>
      <c r="L37" s="28">
        <f>F37*I37*10000/(1000*1000*1000)</f>
        <v>0.212974464</v>
      </c>
      <c r="M37" s="28">
        <f t="shared" si="1"/>
        <v>0.632053248</v>
      </c>
      <c r="N37" s="10" t="s">
        <v>39</v>
      </c>
    </row>
    <row r="38" ht="30" customHeight="1" spans="1:14">
      <c r="A38" s="13"/>
      <c r="B38" s="13"/>
      <c r="C38" s="19" t="s">
        <v>17</v>
      </c>
      <c r="D38" s="19">
        <v>2.7</v>
      </c>
      <c r="E38" s="19">
        <v>2.7</v>
      </c>
      <c r="F38" s="19">
        <v>2.7</v>
      </c>
      <c r="G38" s="21"/>
      <c r="H38" s="21"/>
      <c r="I38" s="21"/>
      <c r="J38" s="28">
        <f>D38*G37*10000/(1000*1000*1000)</f>
        <v>0.0359394408</v>
      </c>
      <c r="K38" s="28">
        <f>E38*H37*10000/(1000*1000*1000)</f>
        <v>0.034780104</v>
      </c>
      <c r="L38" s="28">
        <f>F38*I37*10000/(1000*1000*1000)</f>
        <v>0.0359394408</v>
      </c>
      <c r="M38" s="28">
        <f t="shared" si="1"/>
        <v>0.1066589856</v>
      </c>
      <c r="N38" s="13"/>
    </row>
    <row r="39" ht="30" customHeight="1" spans="1:14">
      <c r="A39" s="13"/>
      <c r="B39" s="13"/>
      <c r="C39" s="6" t="s">
        <v>18</v>
      </c>
      <c r="D39" s="19">
        <v>0.000786</v>
      </c>
      <c r="E39" s="19">
        <v>0.000786</v>
      </c>
      <c r="F39" s="19">
        <v>0.000786</v>
      </c>
      <c r="G39" s="21"/>
      <c r="H39" s="21"/>
      <c r="I39" s="21"/>
      <c r="J39" s="28">
        <f>D39*G37*10000/(1000*1000*1000)</f>
        <v>1.0462370544e-5</v>
      </c>
      <c r="K39" s="28">
        <f>E39*H37*10000/(1000*1000*1000)</f>
        <v>1.012487472e-5</v>
      </c>
      <c r="L39" s="28">
        <f>F39*I37*10000/(1000*1000*1000)</f>
        <v>1.0462370544e-5</v>
      </c>
      <c r="M39" s="28">
        <f t="shared" si="1"/>
        <v>3.1049615808e-5</v>
      </c>
      <c r="N39" s="13"/>
    </row>
    <row r="40" ht="30" customHeight="1" spans="1:14">
      <c r="A40" s="13"/>
      <c r="B40" s="13"/>
      <c r="C40" s="6" t="s">
        <v>19</v>
      </c>
      <c r="D40" s="19">
        <v>0.127</v>
      </c>
      <c r="E40" s="19">
        <v>0.127</v>
      </c>
      <c r="F40" s="19">
        <v>0.127</v>
      </c>
      <c r="G40" s="21"/>
      <c r="H40" s="21"/>
      <c r="I40" s="21"/>
      <c r="J40" s="28">
        <f>D40*G37*10000/(1000*1000*1000)</f>
        <v>0.001690484808</v>
      </c>
      <c r="K40" s="28">
        <f>E40*H37*10000/(1000*1000*1000)</f>
        <v>0.00163595304</v>
      </c>
      <c r="L40" s="28">
        <f>F40*I37*10000/(1000*1000*1000)</f>
        <v>0.001690484808</v>
      </c>
      <c r="M40" s="28">
        <f t="shared" si="1"/>
        <v>0.005016922656</v>
      </c>
      <c r="N40" s="13"/>
    </row>
    <row r="41" ht="30" customHeight="1" spans="1:14">
      <c r="A41" s="6" t="s">
        <v>44</v>
      </c>
      <c r="B41" s="6" t="s">
        <v>45</v>
      </c>
      <c r="C41" s="6" t="s">
        <v>15</v>
      </c>
      <c r="D41" s="11"/>
      <c r="E41" s="11"/>
      <c r="F41" s="11"/>
      <c r="G41" s="22"/>
      <c r="H41" s="22"/>
      <c r="I41" s="22"/>
      <c r="J41" s="28">
        <v>0</v>
      </c>
      <c r="K41" s="28">
        <v>0</v>
      </c>
      <c r="L41" s="28">
        <v>0</v>
      </c>
      <c r="M41" s="28">
        <f>SUM(J41:L41)</f>
        <v>0</v>
      </c>
      <c r="N41" s="10" t="s">
        <v>30</v>
      </c>
    </row>
    <row r="42" ht="30" customHeight="1" spans="1:14">
      <c r="A42" s="6"/>
      <c r="B42" s="6"/>
      <c r="C42" s="19" t="s">
        <v>17</v>
      </c>
      <c r="D42" s="11"/>
      <c r="E42" s="11"/>
      <c r="F42" s="11"/>
      <c r="G42" s="22"/>
      <c r="H42" s="22"/>
      <c r="I42" s="22"/>
      <c r="J42" s="28">
        <v>0</v>
      </c>
      <c r="K42" s="28">
        <v>0</v>
      </c>
      <c r="L42" s="28">
        <v>0</v>
      </c>
      <c r="M42" s="28">
        <f>J42+K42+L42</f>
        <v>0</v>
      </c>
      <c r="N42" s="13"/>
    </row>
    <row r="43" ht="30" customHeight="1" spans="1:14">
      <c r="A43" s="6"/>
      <c r="B43" s="6"/>
      <c r="C43" s="6" t="s">
        <v>18</v>
      </c>
      <c r="D43" s="11"/>
      <c r="E43" s="11"/>
      <c r="F43" s="11"/>
      <c r="G43" s="22"/>
      <c r="H43" s="22"/>
      <c r="I43" s="22"/>
      <c r="J43" s="28">
        <f>D43*G41*10000/(1000*1000*1000)</f>
        <v>0</v>
      </c>
      <c r="K43" s="28">
        <f>E43*H41*10000/(1000*1000*1000)</f>
        <v>0</v>
      </c>
      <c r="L43" s="28">
        <f>F43*I41*10000/(1000*1000*1000)</f>
        <v>0</v>
      </c>
      <c r="M43" s="28">
        <f t="shared" ref="M43:M49" si="2">SUM(J43:L43)</f>
        <v>0</v>
      </c>
      <c r="N43" s="13"/>
    </row>
    <row r="44" ht="30" customHeight="1" spans="1:14">
      <c r="A44" s="6"/>
      <c r="B44" s="6"/>
      <c r="C44" s="6" t="s">
        <v>19</v>
      </c>
      <c r="D44" s="11"/>
      <c r="E44" s="11"/>
      <c r="F44" s="11"/>
      <c r="G44" s="22"/>
      <c r="H44" s="22"/>
      <c r="I44" s="22"/>
      <c r="J44" s="28">
        <f>D44*G41*10000/(1000*1000*1000)</f>
        <v>0</v>
      </c>
      <c r="K44" s="28">
        <f>E44*H41*10000/(1000*1000*1000)</f>
        <v>0</v>
      </c>
      <c r="L44" s="28">
        <f>F44*I41*10000/(1000*1000*1000)</f>
        <v>0</v>
      </c>
      <c r="M44" s="28">
        <f t="shared" si="2"/>
        <v>0</v>
      </c>
      <c r="N44" s="13"/>
    </row>
    <row r="45" ht="30" customHeight="1" spans="1:14">
      <c r="A45" s="6"/>
      <c r="B45" s="6"/>
      <c r="C45" s="19" t="s">
        <v>22</v>
      </c>
      <c r="D45" s="11"/>
      <c r="E45" s="11"/>
      <c r="F45" s="11"/>
      <c r="G45" s="22"/>
      <c r="H45" s="22"/>
      <c r="I45" s="22"/>
      <c r="J45" s="28">
        <f>D45*G41*10000/(1000*1000*1000)</f>
        <v>0</v>
      </c>
      <c r="K45" s="28">
        <f>E45*H41*10000/(1000*1000*1000)</f>
        <v>0</v>
      </c>
      <c r="L45" s="28">
        <f>F45*I41*10000/(1000*1000*1000)</f>
        <v>0</v>
      </c>
      <c r="M45" s="28">
        <f t="shared" si="2"/>
        <v>0</v>
      </c>
      <c r="N45" s="23"/>
    </row>
    <row r="46" customFormat="1" ht="30" customHeight="1" spans="1:14">
      <c r="A46" s="10" t="s">
        <v>46</v>
      </c>
      <c r="B46" s="6" t="s">
        <v>47</v>
      </c>
      <c r="C46" s="19" t="s">
        <v>17</v>
      </c>
      <c r="D46" s="11"/>
      <c r="E46" s="11"/>
      <c r="F46" s="11"/>
      <c r="G46" s="20"/>
      <c r="H46" s="20"/>
      <c r="I46" s="20"/>
      <c r="J46" s="28">
        <f>D46*G46*10000/(1000*1000*1000)</f>
        <v>0</v>
      </c>
      <c r="K46" s="28">
        <f>E46*H46*10000/(1000*1000*1000)</f>
        <v>0</v>
      </c>
      <c r="L46" s="28">
        <f>F46*I46*10000/(1000*1000*1000)</f>
        <v>0</v>
      </c>
      <c r="M46" s="28">
        <f t="shared" si="2"/>
        <v>0</v>
      </c>
      <c r="N46" s="13" t="s">
        <v>30</v>
      </c>
    </row>
    <row r="47" customFormat="1" ht="30" customHeight="1" spans="1:14">
      <c r="A47" s="13"/>
      <c r="B47" s="6"/>
      <c r="C47" s="19" t="s">
        <v>15</v>
      </c>
      <c r="D47" s="11"/>
      <c r="E47" s="11"/>
      <c r="F47" s="11"/>
      <c r="G47" s="21"/>
      <c r="H47" s="21"/>
      <c r="I47" s="21"/>
      <c r="J47" s="28">
        <f>D47*G46*10000/(1000*1000*1000)</f>
        <v>0</v>
      </c>
      <c r="K47" s="28">
        <f>E47*H46*10000/(1000*1000*1000)</f>
        <v>0</v>
      </c>
      <c r="L47" s="28">
        <f>F47*I46*10000/(1000*1000*1000)</f>
        <v>0</v>
      </c>
      <c r="M47" s="28">
        <f t="shared" si="2"/>
        <v>0</v>
      </c>
      <c r="N47" s="13"/>
    </row>
    <row r="48" customFormat="1" ht="30" customHeight="1" spans="1:14">
      <c r="A48" s="13"/>
      <c r="B48" s="6"/>
      <c r="C48" s="6" t="s">
        <v>48</v>
      </c>
      <c r="D48" s="11"/>
      <c r="E48" s="11"/>
      <c r="F48" s="11"/>
      <c r="G48" s="21"/>
      <c r="H48" s="21"/>
      <c r="I48" s="21"/>
      <c r="J48" s="28">
        <f>D48*G46*10000/(1000*1000*1000)</f>
        <v>0</v>
      </c>
      <c r="K48" s="28">
        <f>E48*H46*10000/(1000*1000*1000)</f>
        <v>0</v>
      </c>
      <c r="L48" s="28">
        <f>F48*I46*10000/(1000*1000*1000)</f>
        <v>0</v>
      </c>
      <c r="M48" s="28">
        <f t="shared" si="2"/>
        <v>0</v>
      </c>
      <c r="N48" s="13"/>
    </row>
    <row r="49" customFormat="1" ht="30" customHeight="1" spans="1:14">
      <c r="A49" s="13"/>
      <c r="B49" s="6"/>
      <c r="C49" s="6" t="s">
        <v>49</v>
      </c>
      <c r="D49" s="11"/>
      <c r="E49" s="11"/>
      <c r="F49" s="11"/>
      <c r="G49" s="21"/>
      <c r="H49" s="21"/>
      <c r="I49" s="21"/>
      <c r="J49" s="28">
        <f>D49*G46*10000/(1000*1000*1000)</f>
        <v>0</v>
      </c>
      <c r="K49" s="28">
        <f>E49*H46*10000/(1000*1000*1000)</f>
        <v>0</v>
      </c>
      <c r="L49" s="28">
        <f>F49*I46*10000/(1000*1000*1000)</f>
        <v>0</v>
      </c>
      <c r="M49" s="28">
        <f t="shared" si="2"/>
        <v>0</v>
      </c>
      <c r="N49" s="13"/>
    </row>
    <row r="50" ht="30" customHeight="1" spans="1:14">
      <c r="A50" s="10" t="s">
        <v>50</v>
      </c>
      <c r="B50" s="13" t="s">
        <v>51</v>
      </c>
      <c r="C50" s="19" t="s">
        <v>15</v>
      </c>
      <c r="D50" s="11"/>
      <c r="E50" s="11"/>
      <c r="F50" s="11"/>
      <c r="G50" s="20"/>
      <c r="H50" s="20"/>
      <c r="I50" s="20"/>
      <c r="J50" s="28">
        <v>0</v>
      </c>
      <c r="K50" s="28">
        <v>0</v>
      </c>
      <c r="L50" s="28">
        <v>0</v>
      </c>
      <c r="M50" s="28">
        <f>J50+K50+L50</f>
        <v>0</v>
      </c>
      <c r="N50" s="10" t="s">
        <v>30</v>
      </c>
    </row>
    <row r="51" ht="30" customHeight="1" spans="1:14">
      <c r="A51" s="13"/>
      <c r="B51" s="13"/>
      <c r="C51" s="19" t="s">
        <v>52</v>
      </c>
      <c r="D51" s="11"/>
      <c r="E51" s="11"/>
      <c r="F51" s="11"/>
      <c r="G51" s="21"/>
      <c r="H51" s="21"/>
      <c r="I51" s="21"/>
      <c r="J51" s="28">
        <v>0</v>
      </c>
      <c r="K51" s="28">
        <v>0</v>
      </c>
      <c r="L51" s="28">
        <v>0</v>
      </c>
      <c r="M51" s="28">
        <f>J51+K51+L51</f>
        <v>0</v>
      </c>
      <c r="N51" s="13"/>
    </row>
    <row r="52" ht="30" customHeight="1" spans="1:14">
      <c r="A52" s="13"/>
      <c r="B52" s="13"/>
      <c r="C52" s="19" t="s">
        <v>17</v>
      </c>
      <c r="D52" s="11"/>
      <c r="E52" s="11"/>
      <c r="F52" s="11"/>
      <c r="G52" s="21"/>
      <c r="H52" s="21"/>
      <c r="I52" s="21"/>
      <c r="J52" s="28">
        <f>D52*G45*10000/(1000*1000*1000)</f>
        <v>0</v>
      </c>
      <c r="K52" s="28">
        <f>E52*H45*10000/(1000*1000*1000)</f>
        <v>0</v>
      </c>
      <c r="L52" s="28">
        <f>F52*I45*10000/(1000*1000*1000)</f>
        <v>0</v>
      </c>
      <c r="M52" s="28">
        <f>J52+K52+L52</f>
        <v>0</v>
      </c>
      <c r="N52" s="13"/>
    </row>
    <row r="53" ht="30" customHeight="1" spans="1:14">
      <c r="A53" s="23"/>
      <c r="B53" s="23"/>
      <c r="C53" s="6" t="s">
        <v>18</v>
      </c>
      <c r="D53" s="11"/>
      <c r="E53" s="11"/>
      <c r="F53" s="11"/>
      <c r="G53" s="21"/>
      <c r="H53" s="21"/>
      <c r="I53" s="21"/>
      <c r="J53" s="28">
        <f>D53*G50*10000/(1000*1000*1000)</f>
        <v>0</v>
      </c>
      <c r="K53" s="28">
        <f>E53*H50*10000/(1000*1000*1000)</f>
        <v>0</v>
      </c>
      <c r="L53" s="28">
        <f>F53*I50*10000/(1000*1000*1000)</f>
        <v>0</v>
      </c>
      <c r="M53" s="28">
        <f>SUM(J53:L53)</f>
        <v>0</v>
      </c>
      <c r="N53" s="13"/>
    </row>
    <row r="54" ht="30" customHeight="1" spans="1:14">
      <c r="A54" s="10" t="s">
        <v>53</v>
      </c>
      <c r="B54" s="10" t="s">
        <v>54</v>
      </c>
      <c r="C54" s="19" t="s">
        <v>15</v>
      </c>
      <c r="D54" s="11">
        <v>129.71</v>
      </c>
      <c r="E54" s="11">
        <v>265.01</v>
      </c>
      <c r="F54" s="11">
        <v>251.54</v>
      </c>
      <c r="G54" s="20">
        <v>1740.16</v>
      </c>
      <c r="H54" s="20">
        <v>3796.95</v>
      </c>
      <c r="I54" s="20">
        <v>3917.46</v>
      </c>
      <c r="J54" s="28">
        <v>2.641</v>
      </c>
      <c r="K54" s="28">
        <v>9.7068</v>
      </c>
      <c r="L54" s="28">
        <v>9.8577</v>
      </c>
      <c r="M54" s="28">
        <f>J54+K54+L54</f>
        <v>22.2055</v>
      </c>
      <c r="N54" s="10" t="s">
        <v>55</v>
      </c>
    </row>
    <row r="55" ht="30" customHeight="1" spans="1:14">
      <c r="A55" s="13"/>
      <c r="B55" s="13"/>
      <c r="C55" s="19" t="s">
        <v>17</v>
      </c>
      <c r="D55" s="11">
        <v>2.24</v>
      </c>
      <c r="E55" s="11">
        <v>0.64</v>
      </c>
      <c r="F55" s="11">
        <v>0.57</v>
      </c>
      <c r="G55" s="21"/>
      <c r="H55" s="21"/>
      <c r="I55" s="21"/>
      <c r="J55" s="28">
        <v>0.0364</v>
      </c>
      <c r="K55" s="28">
        <v>0.0242</v>
      </c>
      <c r="L55" s="28">
        <v>0.0223</v>
      </c>
      <c r="M55" s="28">
        <f>SUM(J55:L55)</f>
        <v>0.0829</v>
      </c>
      <c r="N55" s="13"/>
    </row>
    <row r="56" ht="30" customHeight="1" spans="1:14">
      <c r="A56" s="13"/>
      <c r="B56" s="13"/>
      <c r="C56" s="6" t="s">
        <v>18</v>
      </c>
      <c r="D56" s="11">
        <v>0.000492</v>
      </c>
      <c r="E56" s="11">
        <v>0.000381</v>
      </c>
      <c r="F56" s="11">
        <v>0.000419</v>
      </c>
      <c r="G56" s="21"/>
      <c r="H56" s="21"/>
      <c r="I56" s="21"/>
      <c r="J56" s="27">
        <f>D56*G54*10000/(1000*1000*1000)</f>
        <v>8.5615872e-6</v>
      </c>
      <c r="K56" s="27">
        <f>E56*H54*10000/(1000*1000*1000)</f>
        <v>1.44663795e-5</v>
      </c>
      <c r="L56" s="27">
        <f>F56*I54*10000/(1000*1000*1000)</f>
        <v>1.64141574e-5</v>
      </c>
      <c r="M56" s="28">
        <f>SUM(J56:L56)</f>
        <v>3.94421241e-5</v>
      </c>
      <c r="N56" s="13"/>
    </row>
    <row r="57" ht="33" customHeight="1" spans="1:14">
      <c r="A57" s="13"/>
      <c r="B57" s="13"/>
      <c r="C57" s="6" t="s">
        <v>19</v>
      </c>
      <c r="D57" s="2">
        <v>0.08</v>
      </c>
      <c r="E57" s="11">
        <v>0.06</v>
      </c>
      <c r="F57" s="11">
        <v>0.05</v>
      </c>
      <c r="G57" s="21"/>
      <c r="H57" s="21"/>
      <c r="I57" s="21"/>
      <c r="J57" s="27">
        <f>D57*G54*10000/(1000*1000*1000)</f>
        <v>0.001392128</v>
      </c>
      <c r="K57" s="27">
        <f>E57*H54*10000/(1000*1000*1000)</f>
        <v>0.00227817</v>
      </c>
      <c r="L57" s="27">
        <f>F57*I54*10000/(1000*1000*1000)</f>
        <v>0.00195873</v>
      </c>
      <c r="M57" s="28">
        <f>SUM(J57:L57)</f>
        <v>0.005629028</v>
      </c>
      <c r="N57" s="13"/>
    </row>
    <row r="58" ht="23" customHeight="1" spans="1:14">
      <c r="A58" s="13"/>
      <c r="B58" s="23"/>
      <c r="C58" s="19" t="s">
        <v>22</v>
      </c>
      <c r="D58" s="11">
        <v>12</v>
      </c>
      <c r="E58" s="11">
        <v>12</v>
      </c>
      <c r="F58" s="11">
        <v>12</v>
      </c>
      <c r="G58" s="24"/>
      <c r="H58" s="24"/>
      <c r="I58" s="24"/>
      <c r="J58" s="27">
        <f>D58*G54*10000/(1000*1000*1000)</f>
        <v>0.2088192</v>
      </c>
      <c r="K58" s="27">
        <f>E58*H54*10000/(1000*1000*1000)</f>
        <v>0.455634</v>
      </c>
      <c r="L58" s="27">
        <f>F58*I54*10000/(1000*1000*1000)</f>
        <v>0.4700952</v>
      </c>
      <c r="M58" s="28">
        <f>SUM(J58:L58)</f>
        <v>1.1345484</v>
      </c>
      <c r="N58" s="23"/>
    </row>
    <row r="59" ht="31" customHeight="1" spans="1:14">
      <c r="A59" s="10" t="s">
        <v>56</v>
      </c>
      <c r="B59" s="6" t="s">
        <v>57</v>
      </c>
      <c r="C59" s="19" t="s">
        <v>17</v>
      </c>
      <c r="D59" s="11">
        <v>6.9</v>
      </c>
      <c r="E59" s="11">
        <v>6.9</v>
      </c>
      <c r="F59" s="11">
        <v>6.9</v>
      </c>
      <c r="G59" s="22">
        <f>31122*24*31/10000</f>
        <v>2315.4768</v>
      </c>
      <c r="H59" s="22">
        <f>31122*24*30/10000</f>
        <v>2240.784</v>
      </c>
      <c r="I59" s="22">
        <f>31122*24*31/10000</f>
        <v>2315.4768</v>
      </c>
      <c r="J59" s="28">
        <f t="shared" ref="J59:L60" si="3">D59*G59*10000/(1000*1000*1000)</f>
        <v>0.1597678992</v>
      </c>
      <c r="K59" s="28">
        <f t="shared" si="3"/>
        <v>0.154614096</v>
      </c>
      <c r="L59" s="28">
        <f t="shared" si="3"/>
        <v>0.1597678992</v>
      </c>
      <c r="M59" s="28">
        <f>SUM(J59:L59)</f>
        <v>0.4741498944</v>
      </c>
      <c r="N59" s="6" t="s">
        <v>39</v>
      </c>
    </row>
    <row r="60" ht="19" customHeight="1" spans="1:14">
      <c r="A60" s="10" t="s">
        <v>58</v>
      </c>
      <c r="B60" s="10" t="s">
        <v>59</v>
      </c>
      <c r="C60" s="19" t="s">
        <v>17</v>
      </c>
      <c r="D60" s="11">
        <v>6.7</v>
      </c>
      <c r="E60" s="11">
        <v>6.7</v>
      </c>
      <c r="F60" s="11">
        <v>6.7</v>
      </c>
      <c r="G60" s="12">
        <f>57828*24*31/10000</f>
        <v>4302.4032</v>
      </c>
      <c r="H60" s="12">
        <f>57828*24*30/10000</f>
        <v>4163.616</v>
      </c>
      <c r="I60" s="12">
        <f>57828*24*31/10000</f>
        <v>4302.4032</v>
      </c>
      <c r="J60" s="28">
        <f t="shared" si="3"/>
        <v>0.2882610144</v>
      </c>
      <c r="K60" s="28">
        <f t="shared" si="3"/>
        <v>0.278962272</v>
      </c>
      <c r="L60" s="28">
        <f t="shared" si="3"/>
        <v>0.2882610144</v>
      </c>
      <c r="M60" s="28">
        <f t="shared" ref="M60:M65" si="4">J60+K60+L60</f>
        <v>0.8554843008</v>
      </c>
      <c r="N60" s="10" t="s">
        <v>39</v>
      </c>
    </row>
    <row r="61" ht="19" customHeight="1" spans="1:14">
      <c r="A61" s="13"/>
      <c r="B61" s="13"/>
      <c r="C61" s="19" t="s">
        <v>15</v>
      </c>
      <c r="D61" s="11">
        <v>3</v>
      </c>
      <c r="E61" s="11">
        <v>3</v>
      </c>
      <c r="F61" s="11">
        <v>3</v>
      </c>
      <c r="G61" s="14"/>
      <c r="H61" s="14"/>
      <c r="I61" s="14"/>
      <c r="J61" s="28">
        <f>D61*G60*10000/(1000*1000*1000)</f>
        <v>0.129072096</v>
      </c>
      <c r="K61" s="28">
        <f>E61*H60*10000/(1000*1000*1000)</f>
        <v>0.12490848</v>
      </c>
      <c r="L61" s="28">
        <f>F61*I60*10000/(1000*1000*1000)</f>
        <v>0.129072096</v>
      </c>
      <c r="M61" s="28">
        <f t="shared" si="4"/>
        <v>0.383052672</v>
      </c>
      <c r="N61" s="13"/>
    </row>
    <row r="62" ht="19" customHeight="1" spans="1:14">
      <c r="A62" s="13"/>
      <c r="B62" s="13"/>
      <c r="C62" s="19" t="s">
        <v>52</v>
      </c>
      <c r="D62" s="11">
        <v>38</v>
      </c>
      <c r="E62" s="11">
        <v>38</v>
      </c>
      <c r="F62" s="11">
        <v>38</v>
      </c>
      <c r="G62" s="14"/>
      <c r="H62" s="14"/>
      <c r="I62" s="14"/>
      <c r="J62" s="28">
        <f>D62*G60*10000/(1000*1000*1000)</f>
        <v>1.634913216</v>
      </c>
      <c r="K62" s="28">
        <f>E62*H60*10000/(1000*1000*1000)</f>
        <v>1.58217408</v>
      </c>
      <c r="L62" s="28">
        <f>F62*I60*10000/(1000*1000*1000)</f>
        <v>1.634913216</v>
      </c>
      <c r="M62" s="28">
        <f t="shared" si="4"/>
        <v>4.852000512</v>
      </c>
      <c r="N62" s="13"/>
    </row>
    <row r="63" ht="31" customHeight="1" spans="1:14">
      <c r="A63" s="13"/>
      <c r="B63" s="13"/>
      <c r="C63" s="6" t="s">
        <v>48</v>
      </c>
      <c r="D63" s="11">
        <v>0.0803</v>
      </c>
      <c r="E63" s="11">
        <v>0.0803</v>
      </c>
      <c r="F63" s="11">
        <v>0.0803</v>
      </c>
      <c r="G63" s="15"/>
      <c r="H63" s="15"/>
      <c r="I63" s="15"/>
      <c r="J63" s="28">
        <f>D63*G60*10000/(1000*1000*1000)</f>
        <v>0.0034548297696</v>
      </c>
      <c r="K63" s="28">
        <f>E63*H60*10000/(1000*1000*1000)</f>
        <v>0.003343383648</v>
      </c>
      <c r="L63" s="28">
        <f>F63*I60*10000/(1000*1000*1000)</f>
        <v>0.0034548297696</v>
      </c>
      <c r="M63" s="28">
        <f t="shared" si="4"/>
        <v>0.0102530431872</v>
      </c>
      <c r="N63" s="13"/>
    </row>
    <row r="64" ht="32" customHeight="1" spans="1:14">
      <c r="A64" s="10" t="s">
        <v>60</v>
      </c>
      <c r="B64" s="10" t="s">
        <v>61</v>
      </c>
      <c r="C64" s="19" t="s">
        <v>17</v>
      </c>
      <c r="D64" s="11">
        <v>7.1</v>
      </c>
      <c r="E64" s="11">
        <v>7.1</v>
      </c>
      <c r="F64" s="11">
        <v>7.1</v>
      </c>
      <c r="G64" s="12">
        <f>69341*24*31/10000</f>
        <v>5158.9704</v>
      </c>
      <c r="H64" s="12">
        <f>69341*24*30/10000</f>
        <v>4992.552</v>
      </c>
      <c r="I64" s="12">
        <f>69341*24*31/10000</f>
        <v>5158.9704</v>
      </c>
      <c r="J64" s="28">
        <f>D64*G64*10000/(1000*1000*1000)</f>
        <v>0.3662868984</v>
      </c>
      <c r="K64" s="28">
        <f>E64*H64*10000/(1000*1000*1000)</f>
        <v>0.354471192</v>
      </c>
      <c r="L64" s="28">
        <f>F64*I64*10000/(1000*1000*1000)</f>
        <v>0.3662868984</v>
      </c>
      <c r="M64" s="28">
        <f t="shared" si="4"/>
        <v>1.0870449888</v>
      </c>
      <c r="N64" s="10" t="s">
        <v>39</v>
      </c>
    </row>
    <row r="65" ht="32" customHeight="1" spans="1:14">
      <c r="A65" s="13"/>
      <c r="B65" s="13"/>
      <c r="C65" s="6" t="s">
        <v>48</v>
      </c>
      <c r="D65" s="11">
        <v>0.08</v>
      </c>
      <c r="E65" s="11">
        <v>0.08</v>
      </c>
      <c r="F65" s="11">
        <v>0.08</v>
      </c>
      <c r="G65" s="15"/>
      <c r="H65" s="15"/>
      <c r="I65" s="15"/>
      <c r="J65" s="28">
        <f>D65*G64*10000/(1000*1000*1000)</f>
        <v>0.00412717632</v>
      </c>
      <c r="K65" s="28">
        <f>E65*H64*10000/(1000*1000*1000)</f>
        <v>0.0039940416</v>
      </c>
      <c r="L65" s="28">
        <f>F65*I64*10000/(1000*1000*1000)</f>
        <v>0.00412717632</v>
      </c>
      <c r="M65" s="28">
        <f t="shared" si="4"/>
        <v>0.01224839424</v>
      </c>
      <c r="N65" s="23"/>
    </row>
    <row r="66" ht="31" customHeight="1" spans="1:14">
      <c r="A66" s="10" t="s">
        <v>62</v>
      </c>
      <c r="B66" s="10" t="s">
        <v>63</v>
      </c>
      <c r="C66" s="19" t="s">
        <v>17</v>
      </c>
      <c r="D66" s="11">
        <v>8.8</v>
      </c>
      <c r="E66" s="11">
        <v>8.8</v>
      </c>
      <c r="F66" s="11">
        <v>8.8</v>
      </c>
      <c r="G66" s="12">
        <f>12101*24*31/10000</f>
        <v>900.3144</v>
      </c>
      <c r="H66" s="12">
        <f>12101*24*30/10000</f>
        <v>871.272</v>
      </c>
      <c r="I66" s="12">
        <f>12101*24*31/10000</f>
        <v>900.3144</v>
      </c>
      <c r="J66" s="28">
        <f>D66*G66*10000/(1000*1000*1000)</f>
        <v>0.0792276672</v>
      </c>
      <c r="K66" s="28">
        <f>E66*H66*10000/(1000*1000*1000)</f>
        <v>0.076671936</v>
      </c>
      <c r="L66" s="28">
        <f>F66*I66*10000/(1000*1000*1000)</f>
        <v>0.0792276672</v>
      </c>
      <c r="M66" s="28">
        <f>SUM(J66:L66)</f>
        <v>0.2351272704</v>
      </c>
      <c r="N66" s="10" t="s">
        <v>39</v>
      </c>
    </row>
    <row r="67" ht="31" customHeight="1" spans="1:14">
      <c r="A67" s="13"/>
      <c r="B67" s="13"/>
      <c r="C67" s="19" t="s">
        <v>15</v>
      </c>
      <c r="D67" s="11">
        <v>3</v>
      </c>
      <c r="E67" s="11">
        <v>3</v>
      </c>
      <c r="F67" s="11">
        <v>3</v>
      </c>
      <c r="G67" s="14"/>
      <c r="H67" s="14"/>
      <c r="I67" s="14"/>
      <c r="J67" s="28">
        <f>D67*G66*10000/(1000*1000*1000)</f>
        <v>0.027009432</v>
      </c>
      <c r="K67" s="28">
        <f>E67*H66*10000/(1000*1000*1000)</f>
        <v>0.02613816</v>
      </c>
      <c r="L67" s="28">
        <f>F67*I66*10000/(1000*1000*1000)</f>
        <v>0.027009432</v>
      </c>
      <c r="M67" s="28">
        <f>SUM(J67:L67)</f>
        <v>0.080157024</v>
      </c>
      <c r="N67" s="13"/>
    </row>
    <row r="68" ht="31" customHeight="1" spans="1:14">
      <c r="A68" s="13"/>
      <c r="B68" s="13"/>
      <c r="C68" s="19" t="s">
        <v>52</v>
      </c>
      <c r="D68" s="11">
        <v>12</v>
      </c>
      <c r="E68" s="11">
        <v>12</v>
      </c>
      <c r="F68" s="11">
        <v>12</v>
      </c>
      <c r="G68" s="14"/>
      <c r="H68" s="14"/>
      <c r="I68" s="14"/>
      <c r="J68" s="28">
        <f>D68*G66*10000/(1000*1000*1000)</f>
        <v>0.108037728</v>
      </c>
      <c r="K68" s="28">
        <f>E68*H66*10000/(1000*1000*1000)</f>
        <v>0.10455264</v>
      </c>
      <c r="L68" s="28">
        <f>F68*I66*10000/(1000*1000*1000)</f>
        <v>0.108037728</v>
      </c>
      <c r="M68" s="28">
        <f>SUM(J68:L68)</f>
        <v>0.320628096</v>
      </c>
      <c r="N68" s="13"/>
    </row>
    <row r="69" ht="19" customHeight="1" spans="1:14">
      <c r="A69" s="10" t="s">
        <v>64</v>
      </c>
      <c r="B69" s="10" t="s">
        <v>65</v>
      </c>
      <c r="C69" s="19" t="s">
        <v>17</v>
      </c>
      <c r="D69" s="11">
        <v>0.67</v>
      </c>
      <c r="E69" s="11">
        <v>0.94</v>
      </c>
      <c r="F69" s="11">
        <v>0.48</v>
      </c>
      <c r="G69" s="20">
        <v>5816.136</v>
      </c>
      <c r="H69" s="20">
        <v>5453.399</v>
      </c>
      <c r="I69" s="20">
        <v>5690.1</v>
      </c>
      <c r="J69" s="28">
        <v>0.039</v>
      </c>
      <c r="K69" s="28">
        <v>0.05</v>
      </c>
      <c r="L69" s="28">
        <v>0.026</v>
      </c>
      <c r="M69" s="28">
        <f>SUM(J69:L69)</f>
        <v>0.115</v>
      </c>
      <c r="N69" s="10" t="s">
        <v>66</v>
      </c>
    </row>
    <row r="70" ht="19" customHeight="1" spans="1:14">
      <c r="A70" s="13"/>
      <c r="B70" s="13"/>
      <c r="C70" s="19" t="s">
        <v>15</v>
      </c>
      <c r="D70" s="11">
        <v>90.21</v>
      </c>
      <c r="E70" s="11">
        <v>74.33</v>
      </c>
      <c r="F70" s="11">
        <v>52.72</v>
      </c>
      <c r="G70" s="21"/>
      <c r="H70" s="21"/>
      <c r="I70" s="21"/>
      <c r="J70" s="28">
        <v>5.272</v>
      </c>
      <c r="K70" s="28">
        <v>4.193</v>
      </c>
      <c r="L70" s="28">
        <v>3.11</v>
      </c>
      <c r="M70" s="28">
        <f>J70+K70+L70</f>
        <v>12.575</v>
      </c>
      <c r="N70" s="13"/>
    </row>
    <row r="71" ht="19" customHeight="1" spans="1:14">
      <c r="A71" s="13"/>
      <c r="B71" s="13"/>
      <c r="C71" s="19" t="s">
        <v>52</v>
      </c>
      <c r="D71" s="11">
        <v>69</v>
      </c>
      <c r="E71" s="11">
        <v>99</v>
      </c>
      <c r="F71" s="11">
        <v>92</v>
      </c>
      <c r="G71" s="21"/>
      <c r="H71" s="21"/>
      <c r="I71" s="21"/>
      <c r="J71" s="28">
        <f>D71*G69*10000/(1000*1000*1000)</f>
        <v>4.01313384</v>
      </c>
      <c r="K71" s="28">
        <f>E71*H69*10000/(1000*1000*1000)</f>
        <v>5.39886501</v>
      </c>
      <c r="L71" s="28">
        <f>F71*I69*10000/(1000*1000*1000)</f>
        <v>5.234892</v>
      </c>
      <c r="M71" s="28">
        <f>J71+K71+L71</f>
        <v>14.64689085</v>
      </c>
      <c r="N71" s="13"/>
    </row>
    <row r="72" ht="33" customHeight="1" spans="1:14">
      <c r="A72" s="13"/>
      <c r="B72" s="13"/>
      <c r="C72" s="6" t="s">
        <v>49</v>
      </c>
      <c r="D72" s="11">
        <v>0.000344</v>
      </c>
      <c r="E72" s="11">
        <v>0.000382</v>
      </c>
      <c r="F72" s="11">
        <v>0.000421</v>
      </c>
      <c r="G72" s="21"/>
      <c r="H72" s="21"/>
      <c r="I72" s="21"/>
      <c r="J72" s="28">
        <f>D72*G69*10000/(1000*1000*1000)</f>
        <v>2.000750784e-5</v>
      </c>
      <c r="K72" s="28">
        <f>E72*H69*10000/(1000*1000*1000)</f>
        <v>2.083198418e-5</v>
      </c>
      <c r="L72" s="28">
        <f>F72*I69*10000/(1000*1000*1000)</f>
        <v>2.3955321e-5</v>
      </c>
      <c r="M72" s="28">
        <f>J72+K72+L72</f>
        <v>6.479481302e-5</v>
      </c>
      <c r="N72" s="13"/>
    </row>
    <row r="73" ht="34" customHeight="1" spans="1:14">
      <c r="A73" s="13"/>
      <c r="B73" s="13"/>
      <c r="C73" s="6" t="s">
        <v>19</v>
      </c>
      <c r="D73" s="11">
        <v>0.08</v>
      </c>
      <c r="E73" s="11">
        <v>0.06</v>
      </c>
      <c r="F73" s="11">
        <v>0.09</v>
      </c>
      <c r="G73" s="21"/>
      <c r="H73" s="21"/>
      <c r="I73" s="21"/>
      <c r="J73" s="28">
        <f>D73*G69*10000/(1000*1000*1000)</f>
        <v>0.0046529088</v>
      </c>
      <c r="K73" s="28">
        <f>E73*H69*10000/(1000*1000*1000)</f>
        <v>0.0032720394</v>
      </c>
      <c r="L73" s="28">
        <f>F73*I69*10000/(1000*1000*1000)</f>
        <v>0.00512109</v>
      </c>
      <c r="M73" s="28">
        <f t="shared" ref="M73:M82" si="5">SUM(J73:L73)</f>
        <v>0.0130460382</v>
      </c>
      <c r="N73" s="13"/>
    </row>
    <row r="74" ht="26" customHeight="1" spans="1:14">
      <c r="A74" s="13"/>
      <c r="B74" s="13"/>
      <c r="C74" s="19" t="s">
        <v>22</v>
      </c>
      <c r="D74" s="11">
        <v>13.1</v>
      </c>
      <c r="E74" s="11">
        <v>13.1</v>
      </c>
      <c r="F74" s="11">
        <v>13.1</v>
      </c>
      <c r="G74" s="21"/>
      <c r="H74" s="21"/>
      <c r="I74" s="21"/>
      <c r="J74" s="28">
        <f>D74*G69*10000/(1000*1000*1000)</f>
        <v>0.761913816</v>
      </c>
      <c r="K74" s="28">
        <f>E74*H69*10000/(1000*1000*1000)</f>
        <v>0.714395269</v>
      </c>
      <c r="L74" s="28">
        <f>F74*I69*10000/(1000*1000*1000)</f>
        <v>0.7454031</v>
      </c>
      <c r="M74" s="28">
        <f t="shared" si="5"/>
        <v>2.221712185</v>
      </c>
      <c r="N74" s="13"/>
    </row>
    <row r="75" ht="31" customHeight="1" spans="1:14">
      <c r="A75" s="23"/>
      <c r="B75" s="23"/>
      <c r="C75" s="6" t="s">
        <v>67</v>
      </c>
      <c r="D75" s="11">
        <v>0.00271</v>
      </c>
      <c r="E75" s="11">
        <v>0.00271</v>
      </c>
      <c r="F75" s="11">
        <v>0.00271</v>
      </c>
      <c r="G75" s="24"/>
      <c r="H75" s="24"/>
      <c r="I75" s="24"/>
      <c r="J75" s="28">
        <f>D75*G69*10000/(1000*1000*1000)</f>
        <v>0.0001576172856</v>
      </c>
      <c r="K75" s="28">
        <f>E75*H69*10000/(1000*1000*1000)</f>
        <v>0.0001477871129</v>
      </c>
      <c r="L75" s="28">
        <f>F75*I69*10000/(1000*1000*1000)</f>
        <v>0.00015420171</v>
      </c>
      <c r="M75" s="28">
        <f t="shared" si="5"/>
        <v>0.0004596061085</v>
      </c>
      <c r="N75" s="23"/>
    </row>
    <row r="76" ht="34" customHeight="1" spans="1:14">
      <c r="A76" s="13" t="s">
        <v>68</v>
      </c>
      <c r="B76" s="13" t="s">
        <v>69</v>
      </c>
      <c r="C76" s="19" t="s">
        <v>17</v>
      </c>
      <c r="D76" s="11">
        <v>6.2</v>
      </c>
      <c r="E76" s="11">
        <v>6.2</v>
      </c>
      <c r="F76" s="11">
        <v>6.2</v>
      </c>
      <c r="G76" s="12">
        <f>96176*24*31/10000</f>
        <v>7155.4944</v>
      </c>
      <c r="H76" s="12">
        <f>96176*24*30/10000</f>
        <v>6924.672</v>
      </c>
      <c r="I76" s="12">
        <f>96176*24*31/10000</f>
        <v>7155.4944</v>
      </c>
      <c r="J76" s="27">
        <f>D76*G76*10000/(1000*1000*1000)</f>
        <v>0.4436406528</v>
      </c>
      <c r="K76" s="27">
        <f>E76*H76*10000/(1000*1000*1000)</f>
        <v>0.429329664</v>
      </c>
      <c r="L76" s="27">
        <f>F76*I76*10000/(1000*1000*1000)</f>
        <v>0.4436406528</v>
      </c>
      <c r="M76" s="28">
        <f t="shared" si="5"/>
        <v>1.3166109696</v>
      </c>
      <c r="N76" s="13" t="s">
        <v>39</v>
      </c>
    </row>
    <row r="77" ht="34" customHeight="1" spans="1:14">
      <c r="A77" s="13"/>
      <c r="B77" s="13"/>
      <c r="C77" s="6" t="s">
        <v>49</v>
      </c>
      <c r="D77" s="11">
        <v>0.000407</v>
      </c>
      <c r="E77" s="11">
        <v>0.000407</v>
      </c>
      <c r="F77" s="11">
        <v>0.000407</v>
      </c>
      <c r="G77" s="14"/>
      <c r="H77" s="14"/>
      <c r="I77" s="14"/>
      <c r="J77" s="27">
        <f>D77*G76*10000/(1000*1000*1000)</f>
        <v>2.9122862208e-5</v>
      </c>
      <c r="K77" s="27">
        <f>E77*H76*10000/(1000*1000*1000)</f>
        <v>2.818341504e-5</v>
      </c>
      <c r="L77" s="27">
        <f>F77*I76*10000/(1000*1000*1000)</f>
        <v>2.9122862208e-5</v>
      </c>
      <c r="M77" s="28">
        <f t="shared" si="5"/>
        <v>8.6429139456e-5</v>
      </c>
      <c r="N77" s="13"/>
    </row>
    <row r="78" ht="34" customHeight="1" spans="1:14">
      <c r="A78" s="13"/>
      <c r="B78" s="13"/>
      <c r="C78" s="6" t="s">
        <v>19</v>
      </c>
      <c r="D78" s="11">
        <v>0.11</v>
      </c>
      <c r="E78" s="11">
        <v>0.11</v>
      </c>
      <c r="F78" s="11">
        <v>0.11</v>
      </c>
      <c r="G78" s="14"/>
      <c r="H78" s="14"/>
      <c r="I78" s="14"/>
      <c r="J78" s="27">
        <f>D78*G76*10000/(1000*1000*1000)</f>
        <v>0.00787104384</v>
      </c>
      <c r="K78" s="27">
        <f>E78*H76*10000/(1000*1000*1000)</f>
        <v>0.0076171392</v>
      </c>
      <c r="L78" s="27">
        <f>F78*I76*10000/(1000*1000*1000)</f>
        <v>0.00787104384</v>
      </c>
      <c r="M78" s="28">
        <f t="shared" si="5"/>
        <v>0.02335922688</v>
      </c>
      <c r="N78" s="13"/>
    </row>
    <row r="79" ht="34" customHeight="1" spans="1:14">
      <c r="A79" s="13"/>
      <c r="B79" s="13"/>
      <c r="C79" s="6" t="s">
        <v>67</v>
      </c>
      <c r="D79" s="11">
        <v>0.000114</v>
      </c>
      <c r="E79" s="11">
        <v>0.000114</v>
      </c>
      <c r="F79" s="11">
        <v>0.000114</v>
      </c>
      <c r="G79" s="14"/>
      <c r="H79" s="14"/>
      <c r="I79" s="14"/>
      <c r="J79" s="27">
        <f>D79*G76*10000/(1000*1000*1000)</f>
        <v>8.157263616e-6</v>
      </c>
      <c r="K79" s="27">
        <f>E79*H76*10000/(1000*1000*1000)</f>
        <v>7.89412608e-6</v>
      </c>
      <c r="L79" s="27">
        <f>F79*I76*10000/(1000*1000*1000)</f>
        <v>8.157263616e-6</v>
      </c>
      <c r="M79" s="28">
        <f t="shared" si="5"/>
        <v>2.4208653312e-5</v>
      </c>
      <c r="N79" s="13"/>
    </row>
    <row r="80" ht="34" customHeight="1" spans="1:14">
      <c r="A80" s="13"/>
      <c r="B80" s="13"/>
      <c r="C80" s="19" t="s">
        <v>15</v>
      </c>
      <c r="D80" s="11">
        <v>3</v>
      </c>
      <c r="E80" s="11">
        <v>3</v>
      </c>
      <c r="F80" s="11">
        <v>3</v>
      </c>
      <c r="G80" s="14"/>
      <c r="H80" s="14"/>
      <c r="I80" s="14"/>
      <c r="J80" s="27">
        <f>D80*G76*10000/(1000*1000*1000)</f>
        <v>0.214664832</v>
      </c>
      <c r="K80" s="27">
        <f>E80*H76*10000/(1000*1000*1000)</f>
        <v>0.20774016</v>
      </c>
      <c r="L80" s="27">
        <f>F80*I76*10000/(1000*1000*1000)</f>
        <v>0.214664832</v>
      </c>
      <c r="M80" s="28">
        <f t="shared" si="5"/>
        <v>0.637069824</v>
      </c>
      <c r="N80" s="13"/>
    </row>
    <row r="81" ht="34" customHeight="1" spans="1:14">
      <c r="A81" s="23"/>
      <c r="B81" s="23"/>
      <c r="C81" s="19" t="s">
        <v>52</v>
      </c>
      <c r="D81" s="11">
        <v>3</v>
      </c>
      <c r="E81" s="11">
        <v>3</v>
      </c>
      <c r="F81" s="11">
        <v>3</v>
      </c>
      <c r="G81" s="15"/>
      <c r="H81" s="15"/>
      <c r="I81" s="15"/>
      <c r="J81" s="27">
        <f>D81*G76*10000/(1000*1000*1000)</f>
        <v>0.214664832</v>
      </c>
      <c r="K81" s="27">
        <f>E81*H76*10000/(1000*1000*1000)</f>
        <v>0.20774016</v>
      </c>
      <c r="L81" s="27">
        <f>F81*I76*10000/(1000*1000*1000)</f>
        <v>0.214664832</v>
      </c>
      <c r="M81" s="28">
        <f t="shared" si="5"/>
        <v>0.637069824</v>
      </c>
      <c r="N81" s="13"/>
    </row>
    <row r="82" ht="41" customHeight="1" spans="1:14">
      <c r="A82" s="6" t="s">
        <v>70</v>
      </c>
      <c r="B82" s="6" t="s">
        <v>71</v>
      </c>
      <c r="C82" s="19" t="s">
        <v>22</v>
      </c>
      <c r="D82" s="11">
        <v>11.3</v>
      </c>
      <c r="E82" s="11">
        <v>11.3</v>
      </c>
      <c r="F82" s="11">
        <v>11.3</v>
      </c>
      <c r="G82" s="29">
        <f>7*5204.57*24*31/10000</f>
        <v>2710.540056</v>
      </c>
      <c r="H82" s="29">
        <f>7*5204.57*24*30/10000</f>
        <v>2623.10328</v>
      </c>
      <c r="I82" s="29">
        <f>7*5204.57*24*31/10000</f>
        <v>2710.540056</v>
      </c>
      <c r="J82" s="27">
        <f>D82*G82*10000/(1000*1000*1000)</f>
        <v>0.306291026328</v>
      </c>
      <c r="K82" s="27">
        <f>E82*H82*10000/(1000*1000*1000)</f>
        <v>0.29641067064</v>
      </c>
      <c r="L82" s="27">
        <f>F82*I82*10000/(1000*1000*1000)</f>
        <v>0.306291026328</v>
      </c>
      <c r="M82" s="28">
        <f t="shared" si="5"/>
        <v>0.908992723296</v>
      </c>
      <c r="N82" s="10" t="s">
        <v>72</v>
      </c>
    </row>
    <row r="83" ht="41" customHeight="1" spans="1:14">
      <c r="A83" s="6" t="s">
        <v>73</v>
      </c>
      <c r="B83" s="6" t="s">
        <v>71</v>
      </c>
      <c r="C83" s="19" t="s">
        <v>22</v>
      </c>
      <c r="D83" s="11">
        <v>11.3</v>
      </c>
      <c r="E83" s="11">
        <v>11.3</v>
      </c>
      <c r="F83" s="11">
        <v>11.3</v>
      </c>
      <c r="G83" s="29">
        <f>7*4430.25*24*31/10000</f>
        <v>2307.2742</v>
      </c>
      <c r="H83" s="29">
        <f>7*4430.25*24*30/10000</f>
        <v>2232.846</v>
      </c>
      <c r="I83" s="29">
        <f>7*4430.25*24*31/10000</f>
        <v>2307.2742</v>
      </c>
      <c r="J83" s="27">
        <f>G83*D83*10000/(1000*1000*1000)</f>
        <v>0.2607219846</v>
      </c>
      <c r="K83" s="27">
        <f>H83*E83*10000/(1000*1000*1000)</f>
        <v>0.252311598</v>
      </c>
      <c r="L83" s="27">
        <f>I83*F83*10000/(1000*1000*1000)</f>
        <v>0.2607219846</v>
      </c>
      <c r="M83" s="27">
        <f>J83+K83+L83</f>
        <v>0.7737555672</v>
      </c>
      <c r="N83" s="13"/>
    </row>
    <row r="84" ht="42" customHeight="1" spans="1:14">
      <c r="A84" s="6" t="s">
        <v>74</v>
      </c>
      <c r="B84" s="6" t="s">
        <v>71</v>
      </c>
      <c r="C84" s="19" t="s">
        <v>22</v>
      </c>
      <c r="D84" s="11">
        <v>11.3</v>
      </c>
      <c r="E84" s="11">
        <v>11.3</v>
      </c>
      <c r="F84" s="11">
        <v>11.3</v>
      </c>
      <c r="G84" s="29">
        <f>6*4533.16*24*31/10000</f>
        <v>2023.602624</v>
      </c>
      <c r="H84" s="29">
        <f>6*4533.16*24*30/10000</f>
        <v>1958.32512</v>
      </c>
      <c r="I84" s="29">
        <f>6*4533.16*24*31/10000</f>
        <v>2023.602624</v>
      </c>
      <c r="J84" s="27">
        <f>D84*G84*10000/(1000*1000*1000)</f>
        <v>0.228667096512</v>
      </c>
      <c r="K84" s="27">
        <f>E84*H84*10000/(1000*1000*1000)</f>
        <v>0.22129073856</v>
      </c>
      <c r="L84" s="27">
        <f>F84*I84*10000/(1000*1000*1000)</f>
        <v>0.228667096512</v>
      </c>
      <c r="M84" s="27">
        <f>J84+K84+L84</f>
        <v>0.678624931584</v>
      </c>
      <c r="N84" s="13"/>
    </row>
    <row r="85" ht="48" customHeight="1" spans="1:14">
      <c r="A85" s="6" t="s">
        <v>75</v>
      </c>
      <c r="B85" s="6" t="s">
        <v>76</v>
      </c>
      <c r="C85" s="19" t="s">
        <v>22</v>
      </c>
      <c r="D85" s="11">
        <v>11.6</v>
      </c>
      <c r="E85" s="11">
        <v>11.6</v>
      </c>
      <c r="F85" s="11">
        <v>11.6</v>
      </c>
      <c r="G85" s="29">
        <f>7*4227.87*24*31/10000</f>
        <v>2201.874696</v>
      </c>
      <c r="H85" s="29">
        <f>7*4227.87*24*30/10000</f>
        <v>2130.84648</v>
      </c>
      <c r="I85" s="29">
        <f>7*4227.87*24*31/10000</f>
        <v>2201.874696</v>
      </c>
      <c r="J85" s="27">
        <f t="shared" ref="J85:L86" si="6">G85*D85*10000/(1000*1000*1000)</f>
        <v>0.255417464736</v>
      </c>
      <c r="K85" s="27">
        <f t="shared" si="6"/>
        <v>0.24717819168</v>
      </c>
      <c r="L85" s="27">
        <f t="shared" si="6"/>
        <v>0.255417464736</v>
      </c>
      <c r="M85" s="27">
        <f>SUM(J85:L85)</f>
        <v>0.758013121152</v>
      </c>
      <c r="N85" s="13"/>
    </row>
    <row r="86" ht="43" customHeight="1" spans="1:14">
      <c r="A86" s="6" t="s">
        <v>77</v>
      </c>
      <c r="B86" s="6" t="s">
        <v>76</v>
      </c>
      <c r="C86" s="19" t="s">
        <v>22</v>
      </c>
      <c r="D86" s="11">
        <v>11.8</v>
      </c>
      <c r="E86" s="11">
        <v>11.8</v>
      </c>
      <c r="F86" s="11">
        <v>11.8</v>
      </c>
      <c r="G86" s="29">
        <f>7*3110.63*24*31/10000</f>
        <v>1620.016104</v>
      </c>
      <c r="H86" s="29">
        <f>7*3110.63*24*30/10000</f>
        <v>1567.75752</v>
      </c>
      <c r="I86" s="29">
        <f>7*3110.63*24*31/10000</f>
        <v>1620.016104</v>
      </c>
      <c r="J86" s="27">
        <f t="shared" si="6"/>
        <v>0.191161900272</v>
      </c>
      <c r="K86" s="27">
        <f t="shared" si="6"/>
        <v>0.18499538736</v>
      </c>
      <c r="L86" s="27">
        <f t="shared" si="6"/>
        <v>0.191161900272</v>
      </c>
      <c r="M86" s="27">
        <f t="shared" ref="M86:M96" si="7">SUM(J86:L86)</f>
        <v>0.567319187904</v>
      </c>
      <c r="N86" s="13"/>
    </row>
    <row r="87" ht="40" customHeight="1" spans="1:14">
      <c r="A87" s="6" t="s">
        <v>78</v>
      </c>
      <c r="B87" s="6" t="s">
        <v>79</v>
      </c>
      <c r="C87" s="19" t="s">
        <v>22</v>
      </c>
      <c r="D87" s="11">
        <v>11.8</v>
      </c>
      <c r="E87" s="11">
        <v>11.8</v>
      </c>
      <c r="F87" s="11">
        <v>11.8</v>
      </c>
      <c r="G87" s="29">
        <f>8*1987.56*24*31/10000</f>
        <v>1182.995712</v>
      </c>
      <c r="H87" s="29">
        <f>8*1987.56*24*30/10000</f>
        <v>1144.83456</v>
      </c>
      <c r="I87" s="29">
        <f>8*1987.56*24*31/10000</f>
        <v>1182.995712</v>
      </c>
      <c r="J87" s="27">
        <f t="shared" ref="J87:J109" si="8">D87*G87*10000/(1000*1000*1000)</f>
        <v>0.139593494016</v>
      </c>
      <c r="K87" s="27">
        <f t="shared" ref="K87:K109" si="9">E87*H87*10000/(1000*1000*1000)</f>
        <v>0.13509047808</v>
      </c>
      <c r="L87" s="27">
        <f t="shared" ref="L87:L109" si="10">F87*I87*10000/(1000*1000*1000)</f>
        <v>0.139593494016</v>
      </c>
      <c r="M87" s="27">
        <f t="shared" si="7"/>
        <v>0.414277466112</v>
      </c>
      <c r="N87" s="13"/>
    </row>
    <row r="88" ht="41" customHeight="1" spans="1:14">
      <c r="A88" s="6" t="s">
        <v>80</v>
      </c>
      <c r="B88" s="6" t="s">
        <v>79</v>
      </c>
      <c r="C88" s="19" t="s">
        <v>22</v>
      </c>
      <c r="D88" s="11">
        <v>12</v>
      </c>
      <c r="E88" s="11">
        <v>12</v>
      </c>
      <c r="F88" s="11">
        <v>12</v>
      </c>
      <c r="G88" s="29">
        <f>8*1900.1*24*31/10000</f>
        <v>1130.93952</v>
      </c>
      <c r="H88" s="29">
        <f>8*1900.1*24*30/10000</f>
        <v>1094.4576</v>
      </c>
      <c r="I88" s="29">
        <f>8*1900.1*24*31/10000</f>
        <v>1130.93952</v>
      </c>
      <c r="J88" s="27">
        <f t="shared" si="8"/>
        <v>0.1357127424</v>
      </c>
      <c r="K88" s="27">
        <f t="shared" si="9"/>
        <v>0.131334912</v>
      </c>
      <c r="L88" s="27">
        <f t="shared" si="10"/>
        <v>0.1357127424</v>
      </c>
      <c r="M88" s="27">
        <f t="shared" si="7"/>
        <v>0.4027603968</v>
      </c>
      <c r="N88" s="13"/>
    </row>
    <row r="89" ht="44" customHeight="1" spans="1:14">
      <c r="A89" s="6" t="s">
        <v>81</v>
      </c>
      <c r="B89" s="6" t="s">
        <v>79</v>
      </c>
      <c r="C89" s="19" t="s">
        <v>22</v>
      </c>
      <c r="D89" s="11">
        <v>11.8</v>
      </c>
      <c r="E89" s="11">
        <v>11.8</v>
      </c>
      <c r="F89" s="11">
        <v>11.8</v>
      </c>
      <c r="G89" s="29">
        <f>7*4415.26*24*31/10000</f>
        <v>2299.467408</v>
      </c>
      <c r="H89" s="29">
        <f>7*4415.26*24*31/10000</f>
        <v>2299.467408</v>
      </c>
      <c r="I89" s="29">
        <f>7*4415.26*24*31/10000</f>
        <v>2299.467408</v>
      </c>
      <c r="J89" s="27">
        <f t="shared" si="8"/>
        <v>0.271337154144</v>
      </c>
      <c r="K89" s="27">
        <f t="shared" si="9"/>
        <v>0.271337154144</v>
      </c>
      <c r="L89" s="27">
        <f t="shared" si="10"/>
        <v>0.271337154144</v>
      </c>
      <c r="M89" s="27">
        <f t="shared" si="7"/>
        <v>0.814011462432</v>
      </c>
      <c r="N89" s="13"/>
    </row>
    <row r="90" ht="44" customHeight="1" spans="1:14">
      <c r="A90" s="6" t="s">
        <v>82</v>
      </c>
      <c r="B90" s="6" t="s">
        <v>83</v>
      </c>
      <c r="C90" s="19" t="s">
        <v>22</v>
      </c>
      <c r="D90" s="11">
        <v>11.2</v>
      </c>
      <c r="E90" s="11">
        <v>11.2</v>
      </c>
      <c r="F90" s="11">
        <v>11.2</v>
      </c>
      <c r="G90" s="29">
        <f>6*1866.09*24*31/10000</f>
        <v>833.022576</v>
      </c>
      <c r="H90" s="29">
        <f>6*1866.09*24*30/10000</f>
        <v>806.15088</v>
      </c>
      <c r="I90" s="29">
        <f>6*1866.09*24*31/10000</f>
        <v>833.022576</v>
      </c>
      <c r="J90" s="27">
        <f t="shared" si="8"/>
        <v>0.093298528512</v>
      </c>
      <c r="K90" s="27">
        <f t="shared" si="9"/>
        <v>0.09028889856</v>
      </c>
      <c r="L90" s="27">
        <f t="shared" si="10"/>
        <v>0.093298528512</v>
      </c>
      <c r="M90" s="27">
        <f t="shared" si="7"/>
        <v>0.276885955584</v>
      </c>
      <c r="N90" s="13"/>
    </row>
    <row r="91" ht="45" customHeight="1" spans="1:14">
      <c r="A91" s="6" t="s">
        <v>84</v>
      </c>
      <c r="B91" s="6" t="s">
        <v>83</v>
      </c>
      <c r="C91" s="19" t="s">
        <v>22</v>
      </c>
      <c r="D91" s="11">
        <v>11.7</v>
      </c>
      <c r="E91" s="11">
        <v>11.7</v>
      </c>
      <c r="F91" s="11">
        <v>11.7</v>
      </c>
      <c r="G91" s="29">
        <f>5*1962.1*24*31/10000</f>
        <v>729.9012</v>
      </c>
      <c r="H91" s="29">
        <f>5*1962.1*24*30/10000</f>
        <v>706.356</v>
      </c>
      <c r="I91" s="29">
        <f>5*1962.1*24*31/10000</f>
        <v>729.9012</v>
      </c>
      <c r="J91" s="27">
        <f t="shared" si="8"/>
        <v>0.0853984404</v>
      </c>
      <c r="K91" s="27">
        <f t="shared" si="9"/>
        <v>0.082643652</v>
      </c>
      <c r="L91" s="27">
        <f t="shared" si="10"/>
        <v>0.0853984404</v>
      </c>
      <c r="M91" s="27">
        <f t="shared" si="7"/>
        <v>0.2534405328</v>
      </c>
      <c r="N91" s="13"/>
    </row>
    <row r="92" ht="45" customHeight="1" spans="1:14">
      <c r="A92" s="6" t="s">
        <v>85</v>
      </c>
      <c r="B92" s="6" t="s">
        <v>86</v>
      </c>
      <c r="C92" s="19" t="s">
        <v>22</v>
      </c>
      <c r="D92" s="11">
        <v>11.7</v>
      </c>
      <c r="E92" s="11">
        <v>11.7</v>
      </c>
      <c r="F92" s="11">
        <v>11.7</v>
      </c>
      <c r="G92" s="29">
        <f>5*1223.47*31*24/10000</f>
        <v>455.13084</v>
      </c>
      <c r="H92" s="29">
        <f>5*1223.47*30*24/10000</f>
        <v>440.4492</v>
      </c>
      <c r="I92" s="29">
        <f>5*1223.47*31*24/10000</f>
        <v>455.13084</v>
      </c>
      <c r="J92" s="27">
        <f t="shared" si="8"/>
        <v>0.05325030828</v>
      </c>
      <c r="K92" s="27">
        <f t="shared" si="9"/>
        <v>0.0515325564</v>
      </c>
      <c r="L92" s="27">
        <f t="shared" si="10"/>
        <v>0.05325030828</v>
      </c>
      <c r="M92" s="27">
        <f t="shared" si="7"/>
        <v>0.15803317296</v>
      </c>
      <c r="N92" s="13"/>
    </row>
    <row r="93" ht="50" customHeight="1" spans="1:14">
      <c r="A93" s="6" t="s">
        <v>87</v>
      </c>
      <c r="B93" s="6" t="s">
        <v>86</v>
      </c>
      <c r="C93" s="19" t="s">
        <v>22</v>
      </c>
      <c r="D93" s="11">
        <v>12</v>
      </c>
      <c r="E93" s="11">
        <v>12</v>
      </c>
      <c r="F93" s="11">
        <v>12</v>
      </c>
      <c r="G93" s="29">
        <f>13*1061.82*31*24/10000</f>
        <v>1026.992304</v>
      </c>
      <c r="H93" s="29">
        <f>13*1061.82*30*24/10000</f>
        <v>993.86352</v>
      </c>
      <c r="I93" s="29">
        <f>13*1061.82*31*24/10000</f>
        <v>1026.992304</v>
      </c>
      <c r="J93" s="27">
        <f t="shared" si="8"/>
        <v>0.12323907648</v>
      </c>
      <c r="K93" s="27">
        <f t="shared" si="9"/>
        <v>0.1192636224</v>
      </c>
      <c r="L93" s="27">
        <f t="shared" si="10"/>
        <v>0.12323907648</v>
      </c>
      <c r="M93" s="27">
        <f t="shared" si="7"/>
        <v>0.36574177536</v>
      </c>
      <c r="N93" s="13"/>
    </row>
    <row r="94" ht="45" customHeight="1" spans="1:14">
      <c r="A94" s="6" t="s">
        <v>88</v>
      </c>
      <c r="B94" s="6" t="s">
        <v>86</v>
      </c>
      <c r="C94" s="19" t="s">
        <v>22</v>
      </c>
      <c r="D94" s="11">
        <v>11.6</v>
      </c>
      <c r="E94" s="11">
        <v>11.6</v>
      </c>
      <c r="F94" s="11">
        <v>11.6</v>
      </c>
      <c r="G94" s="29">
        <f>12*1129.08*31*24/10000</f>
        <v>1008.042624</v>
      </c>
      <c r="H94" s="29">
        <f>12*1129.08*30*24/10000</f>
        <v>975.52512</v>
      </c>
      <c r="I94" s="29">
        <f>12*1129.08*31*24/10000</f>
        <v>1008.042624</v>
      </c>
      <c r="J94" s="27">
        <f t="shared" si="8"/>
        <v>0.116932944384</v>
      </c>
      <c r="K94" s="27">
        <f t="shared" si="9"/>
        <v>0.11316091392</v>
      </c>
      <c r="L94" s="27">
        <f t="shared" si="10"/>
        <v>0.116932944384</v>
      </c>
      <c r="M94" s="27">
        <f t="shared" si="7"/>
        <v>0.347026802688</v>
      </c>
      <c r="N94" s="13"/>
    </row>
    <row r="95" ht="48" customHeight="1" spans="1:14">
      <c r="A95" s="6" t="s">
        <v>89</v>
      </c>
      <c r="B95" s="6" t="s">
        <v>90</v>
      </c>
      <c r="C95" s="19" t="s">
        <v>22</v>
      </c>
      <c r="D95" s="11">
        <v>11.4</v>
      </c>
      <c r="E95" s="11">
        <v>11.4</v>
      </c>
      <c r="F95" s="11">
        <v>11.4</v>
      </c>
      <c r="G95" s="29">
        <f>12*1149.95*24*31/10000</f>
        <v>1026.67536</v>
      </c>
      <c r="H95" s="29">
        <f>12*1149.95*24*30/10000</f>
        <v>993.5568</v>
      </c>
      <c r="I95" s="29">
        <f>12*1149.95*24*31/10000</f>
        <v>1026.67536</v>
      </c>
      <c r="J95" s="27">
        <f t="shared" si="8"/>
        <v>0.11704099104</v>
      </c>
      <c r="K95" s="27">
        <f t="shared" si="9"/>
        <v>0.1132654752</v>
      </c>
      <c r="L95" s="27">
        <f t="shared" si="10"/>
        <v>0.11704099104</v>
      </c>
      <c r="M95" s="27">
        <f t="shared" si="7"/>
        <v>0.34734745728</v>
      </c>
      <c r="N95" s="13"/>
    </row>
    <row r="96" ht="43" customHeight="1" spans="1:14">
      <c r="A96" s="6" t="s">
        <v>91</v>
      </c>
      <c r="B96" s="6" t="s">
        <v>90</v>
      </c>
      <c r="C96" s="19" t="s">
        <v>22</v>
      </c>
      <c r="D96" s="11">
        <v>10.9</v>
      </c>
      <c r="E96" s="11">
        <v>10.9</v>
      </c>
      <c r="F96" s="11">
        <v>10.9</v>
      </c>
      <c r="G96" s="29">
        <f>6*1115.31*24*31/10000</f>
        <v>497.874384</v>
      </c>
      <c r="H96" s="29">
        <f>6*1115.31*24*30/10000</f>
        <v>481.81392</v>
      </c>
      <c r="I96" s="29">
        <f>6*1115.31*24*31/10000</f>
        <v>497.874384</v>
      </c>
      <c r="J96" s="27">
        <f t="shared" si="8"/>
        <v>0.054268307856</v>
      </c>
      <c r="K96" s="27">
        <f t="shared" si="9"/>
        <v>0.05251771728</v>
      </c>
      <c r="L96" s="27">
        <f t="shared" si="10"/>
        <v>0.054268307856</v>
      </c>
      <c r="M96" s="27">
        <f t="shared" si="7"/>
        <v>0.161054332992</v>
      </c>
      <c r="N96" s="13"/>
    </row>
    <row r="97" ht="45" customHeight="1" spans="1:14">
      <c r="A97" s="6" t="s">
        <v>92</v>
      </c>
      <c r="B97" s="6" t="s">
        <v>90</v>
      </c>
      <c r="C97" s="19" t="s">
        <v>22</v>
      </c>
      <c r="D97" s="11">
        <v>12.1</v>
      </c>
      <c r="E97" s="11">
        <v>12.1</v>
      </c>
      <c r="F97" s="11">
        <v>12.1</v>
      </c>
      <c r="G97" s="29">
        <f>6*1176.18*24*31/10000</f>
        <v>525.046752</v>
      </c>
      <c r="H97" s="29">
        <f>6*1176.18*24*30/10000</f>
        <v>508.10976</v>
      </c>
      <c r="I97" s="29">
        <f>6*1176.18*24*31/10000</f>
        <v>525.046752</v>
      </c>
      <c r="J97" s="27">
        <f t="shared" si="8"/>
        <v>0.063530656992</v>
      </c>
      <c r="K97" s="27">
        <f t="shared" si="9"/>
        <v>0.06148128096</v>
      </c>
      <c r="L97" s="27">
        <f t="shared" si="10"/>
        <v>0.063530656992</v>
      </c>
      <c r="M97" s="27">
        <f t="shared" ref="M97:M103" si="11">SUM(J97:L97)</f>
        <v>0.188542594944</v>
      </c>
      <c r="N97" s="13"/>
    </row>
    <row r="98" ht="45" customHeight="1" spans="1:14">
      <c r="A98" s="6" t="s">
        <v>93</v>
      </c>
      <c r="B98" s="6" t="s">
        <v>94</v>
      </c>
      <c r="C98" s="19" t="s">
        <v>22</v>
      </c>
      <c r="D98" s="11">
        <v>11.1</v>
      </c>
      <c r="E98" s="11">
        <v>11.1</v>
      </c>
      <c r="F98" s="11">
        <v>11.1</v>
      </c>
      <c r="G98" s="29">
        <f>4212.45*24*24*31/10000</f>
        <v>7521.75072</v>
      </c>
      <c r="H98" s="29">
        <f>4212.45*24*24*30/10000</f>
        <v>7279.1136</v>
      </c>
      <c r="I98" s="29">
        <f>4212.45*24*24*31/10000</f>
        <v>7521.75072</v>
      </c>
      <c r="J98" s="27">
        <f t="shared" si="8"/>
        <v>0.83491432992</v>
      </c>
      <c r="K98" s="27">
        <f t="shared" si="9"/>
        <v>0.8079816096</v>
      </c>
      <c r="L98" s="27">
        <f t="shared" si="10"/>
        <v>0.83491432992</v>
      </c>
      <c r="M98" s="27">
        <f t="shared" si="11"/>
        <v>2.47781026944</v>
      </c>
      <c r="N98" s="13"/>
    </row>
    <row r="99" ht="41" customHeight="1" spans="1:14">
      <c r="A99" s="6" t="s">
        <v>95</v>
      </c>
      <c r="B99" s="6" t="s">
        <v>94</v>
      </c>
      <c r="C99" s="19" t="s">
        <v>22</v>
      </c>
      <c r="D99" s="11">
        <v>12.1</v>
      </c>
      <c r="E99" s="11">
        <v>12.1</v>
      </c>
      <c r="F99" s="11">
        <v>12.1</v>
      </c>
      <c r="G99" s="29">
        <f>5415.33*24*24*31/10000</f>
        <v>9669.613248</v>
      </c>
      <c r="H99" s="29">
        <f>5415.33*24*24*30/10000</f>
        <v>9357.69024</v>
      </c>
      <c r="I99" s="29">
        <f>5415.33*24*24*31/10000</f>
        <v>9669.613248</v>
      </c>
      <c r="J99" s="27">
        <f t="shared" si="8"/>
        <v>1.170023203008</v>
      </c>
      <c r="K99" s="27">
        <f t="shared" si="9"/>
        <v>1.13228051904</v>
      </c>
      <c r="L99" s="27">
        <f t="shared" si="10"/>
        <v>1.170023203008</v>
      </c>
      <c r="M99" s="27">
        <f t="shared" si="11"/>
        <v>3.472326925056</v>
      </c>
      <c r="N99" s="13"/>
    </row>
    <row r="100" ht="95" customHeight="1" spans="1:14">
      <c r="A100" s="6" t="s">
        <v>96</v>
      </c>
      <c r="B100" s="6" t="s">
        <v>94</v>
      </c>
      <c r="C100" s="19" t="s">
        <v>22</v>
      </c>
      <c r="D100" s="11">
        <v>12.1</v>
      </c>
      <c r="E100" s="11">
        <v>12.1</v>
      </c>
      <c r="F100" s="11">
        <v>12.1</v>
      </c>
      <c r="G100" s="29">
        <f>5119.55*24*24*31/10000</f>
        <v>9141.46848</v>
      </c>
      <c r="H100" s="29">
        <f>5119.55*24*24*30/10000</f>
        <v>8846.5824</v>
      </c>
      <c r="I100" s="29">
        <f>5119.55*24*24*31/10000</f>
        <v>9141.46848</v>
      </c>
      <c r="J100" s="27">
        <f t="shared" si="8"/>
        <v>1.10611768608</v>
      </c>
      <c r="K100" s="27">
        <f t="shared" si="9"/>
        <v>1.0704364704</v>
      </c>
      <c r="L100" s="27">
        <f t="shared" si="10"/>
        <v>1.10611768608</v>
      </c>
      <c r="M100" s="27">
        <f t="shared" si="11"/>
        <v>3.28267184256</v>
      </c>
      <c r="N100" s="13"/>
    </row>
    <row r="101" ht="42" customHeight="1" spans="1:14">
      <c r="A101" s="6" t="s">
        <v>97</v>
      </c>
      <c r="B101" s="6" t="s">
        <v>98</v>
      </c>
      <c r="C101" s="19" t="s">
        <v>22</v>
      </c>
      <c r="D101" s="11">
        <v>11.9</v>
      </c>
      <c r="E101" s="11">
        <v>11.9</v>
      </c>
      <c r="F101" s="11">
        <v>11.9</v>
      </c>
      <c r="G101" s="29">
        <f>3807.51*12*24*31/10000</f>
        <v>3399.344928</v>
      </c>
      <c r="H101" s="29">
        <f>3807.51*12*24*30/10000</f>
        <v>3289.68864</v>
      </c>
      <c r="I101" s="29">
        <f>3807.51*12*24*31/10000</f>
        <v>3399.344928</v>
      </c>
      <c r="J101" s="27">
        <f t="shared" si="8"/>
        <v>0.404522046432</v>
      </c>
      <c r="K101" s="27">
        <f t="shared" si="9"/>
        <v>0.39147294816</v>
      </c>
      <c r="L101" s="27">
        <f t="shared" si="10"/>
        <v>0.404522046432</v>
      </c>
      <c r="M101" s="27">
        <f t="shared" si="11"/>
        <v>1.200517041024</v>
      </c>
      <c r="N101" s="13"/>
    </row>
    <row r="102" ht="43" customHeight="1" spans="1:14">
      <c r="A102" s="6" t="s">
        <v>99</v>
      </c>
      <c r="B102" s="6" t="s">
        <v>98</v>
      </c>
      <c r="C102" s="19" t="s">
        <v>22</v>
      </c>
      <c r="D102" s="11">
        <v>12.2</v>
      </c>
      <c r="E102" s="11">
        <v>12.2</v>
      </c>
      <c r="F102" s="11">
        <v>12.2</v>
      </c>
      <c r="G102" s="29">
        <f>3483.3*12*24*31/10000</f>
        <v>3109.89024</v>
      </c>
      <c r="H102" s="29">
        <f>3483.3*12*24*30/10000</f>
        <v>3009.5712</v>
      </c>
      <c r="I102" s="29">
        <f>3483.3*12*24*31/10000</f>
        <v>3109.89024</v>
      </c>
      <c r="J102" s="27">
        <f t="shared" si="8"/>
        <v>0.37940660928</v>
      </c>
      <c r="K102" s="27">
        <f t="shared" si="9"/>
        <v>0.3671676864</v>
      </c>
      <c r="L102" s="27">
        <f t="shared" si="10"/>
        <v>0.37940660928</v>
      </c>
      <c r="M102" s="27">
        <f t="shared" si="11"/>
        <v>1.12598090496</v>
      </c>
      <c r="N102" s="13"/>
    </row>
    <row r="103" ht="43" customHeight="1" spans="1:14">
      <c r="A103" s="6" t="s">
        <v>100</v>
      </c>
      <c r="B103" s="6" t="s">
        <v>98</v>
      </c>
      <c r="C103" s="19" t="s">
        <v>22</v>
      </c>
      <c r="D103" s="11">
        <v>12.1</v>
      </c>
      <c r="E103" s="11">
        <v>12.1</v>
      </c>
      <c r="F103" s="11">
        <v>12.1</v>
      </c>
      <c r="G103" s="29">
        <f>4172.51*12*24*31/10000</f>
        <v>3725.216928</v>
      </c>
      <c r="H103" s="29">
        <f>4172.51*12*24*30/10000</f>
        <v>3605.04864</v>
      </c>
      <c r="I103" s="29">
        <f>4172.51*12*24*31/10000</f>
        <v>3725.216928</v>
      </c>
      <c r="J103" s="27">
        <f t="shared" si="8"/>
        <v>0.450751248288</v>
      </c>
      <c r="K103" s="27">
        <f t="shared" si="9"/>
        <v>0.43621088544</v>
      </c>
      <c r="L103" s="27">
        <f t="shared" si="10"/>
        <v>0.450751248288</v>
      </c>
      <c r="M103" s="27">
        <f t="shared" si="11"/>
        <v>1.337713382016</v>
      </c>
      <c r="N103" s="13"/>
    </row>
    <row r="104" ht="43" customHeight="1" spans="1:14">
      <c r="A104" s="6" t="s">
        <v>101</v>
      </c>
      <c r="B104" s="6" t="s">
        <v>102</v>
      </c>
      <c r="C104" s="19" t="s">
        <v>22</v>
      </c>
      <c r="D104" s="11">
        <v>11.2</v>
      </c>
      <c r="E104" s="11">
        <v>11.2</v>
      </c>
      <c r="F104" s="11">
        <v>11.2</v>
      </c>
      <c r="G104" s="29">
        <f>2893.89*24*31/10000</f>
        <v>215.305416</v>
      </c>
      <c r="H104" s="29">
        <f>2893.89*24*30/10000</f>
        <v>208.36008</v>
      </c>
      <c r="I104" s="29">
        <f>2893.89*24*31/10000</f>
        <v>215.305416</v>
      </c>
      <c r="J104" s="27">
        <f t="shared" si="8"/>
        <v>0.024114206592</v>
      </c>
      <c r="K104" s="27">
        <f t="shared" si="9"/>
        <v>0.02333632896</v>
      </c>
      <c r="L104" s="27">
        <f t="shared" si="10"/>
        <v>0.024114206592</v>
      </c>
      <c r="M104" s="27">
        <f t="shared" ref="M104:M112" si="12">SUM(J104:L104)</f>
        <v>0.071564742144</v>
      </c>
      <c r="N104" s="10" t="s">
        <v>103</v>
      </c>
    </row>
    <row r="105" ht="43" customHeight="1" spans="1:14">
      <c r="A105" s="6" t="s">
        <v>104</v>
      </c>
      <c r="B105" s="6" t="s">
        <v>105</v>
      </c>
      <c r="C105" s="19" t="s">
        <v>22</v>
      </c>
      <c r="D105" s="11">
        <v>12.9</v>
      </c>
      <c r="E105" s="11">
        <v>12.9</v>
      </c>
      <c r="F105" s="11">
        <v>12.9</v>
      </c>
      <c r="G105" s="29">
        <f>2897.55*24*31/10000</f>
        <v>215.57772</v>
      </c>
      <c r="H105" s="29">
        <f>2897.55*24*30/10000</f>
        <v>208.6236</v>
      </c>
      <c r="I105" s="29">
        <f>2897.55*24*31/10000</f>
        <v>215.57772</v>
      </c>
      <c r="J105" s="27">
        <f t="shared" si="8"/>
        <v>0.02780952588</v>
      </c>
      <c r="K105" s="27">
        <f t="shared" si="9"/>
        <v>0.0269124444</v>
      </c>
      <c r="L105" s="27">
        <f t="shared" si="10"/>
        <v>0.02780952588</v>
      </c>
      <c r="M105" s="27">
        <f t="shared" si="12"/>
        <v>0.08253149616</v>
      </c>
      <c r="N105" s="13"/>
    </row>
    <row r="106" ht="43" customHeight="1" spans="1:14">
      <c r="A106" s="6" t="s">
        <v>106</v>
      </c>
      <c r="B106" s="6" t="s">
        <v>107</v>
      </c>
      <c r="C106" s="19" t="s">
        <v>22</v>
      </c>
      <c r="D106" s="11"/>
      <c r="E106" s="11"/>
      <c r="F106" s="11"/>
      <c r="G106" s="29"/>
      <c r="H106" s="29"/>
      <c r="I106" s="29"/>
      <c r="J106" s="27">
        <f t="shared" si="8"/>
        <v>0</v>
      </c>
      <c r="K106" s="27">
        <f t="shared" si="9"/>
        <v>0</v>
      </c>
      <c r="L106" s="27">
        <f t="shared" si="10"/>
        <v>0</v>
      </c>
      <c r="M106" s="27">
        <f t="shared" si="12"/>
        <v>0</v>
      </c>
      <c r="N106" s="13"/>
    </row>
    <row r="107" ht="43" customHeight="1" spans="1:14">
      <c r="A107" s="6" t="s">
        <v>108</v>
      </c>
      <c r="B107" s="6" t="s">
        <v>109</v>
      </c>
      <c r="C107" s="19" t="s">
        <v>22</v>
      </c>
      <c r="D107" s="11">
        <v>11.9</v>
      </c>
      <c r="E107" s="11">
        <v>11.9</v>
      </c>
      <c r="F107" s="11">
        <v>11.9</v>
      </c>
      <c r="G107" s="29">
        <f>2896.79*24*31/10000</f>
        <v>215.521176</v>
      </c>
      <c r="H107" s="29">
        <f>2896.79*24*30/10000</f>
        <v>208.56888</v>
      </c>
      <c r="I107" s="29">
        <f>2896.79*24*31/10000</f>
        <v>215.521176</v>
      </c>
      <c r="J107" s="27">
        <f t="shared" si="8"/>
        <v>0.025647019944</v>
      </c>
      <c r="K107" s="27">
        <f t="shared" si="9"/>
        <v>0.02481969672</v>
      </c>
      <c r="L107" s="27">
        <f t="shared" si="10"/>
        <v>0.025647019944</v>
      </c>
      <c r="M107" s="27">
        <f t="shared" si="12"/>
        <v>0.076113736608</v>
      </c>
      <c r="N107" s="13"/>
    </row>
    <row r="108" ht="43" customHeight="1" spans="1:14">
      <c r="A108" s="6" t="s">
        <v>110</v>
      </c>
      <c r="B108" s="6" t="s">
        <v>111</v>
      </c>
      <c r="C108" s="19" t="s">
        <v>22</v>
      </c>
      <c r="D108" s="11">
        <v>11.6</v>
      </c>
      <c r="E108" s="11">
        <v>11.6</v>
      </c>
      <c r="F108" s="11">
        <v>11.6</v>
      </c>
      <c r="G108" s="29">
        <f>2926.9*24*31/10000</f>
        <v>217.76136</v>
      </c>
      <c r="H108" s="29">
        <f>2926.9*24*30/10000</f>
        <v>210.7368</v>
      </c>
      <c r="I108" s="29">
        <f>2926.9*24*31/10000</f>
        <v>217.76136</v>
      </c>
      <c r="J108" s="27">
        <f t="shared" si="8"/>
        <v>0.02526031776</v>
      </c>
      <c r="K108" s="27">
        <f t="shared" si="9"/>
        <v>0.0244454688</v>
      </c>
      <c r="L108" s="27">
        <f t="shared" si="10"/>
        <v>0.02526031776</v>
      </c>
      <c r="M108" s="27">
        <f t="shared" si="12"/>
        <v>0.07496610432</v>
      </c>
      <c r="N108" s="13"/>
    </row>
    <row r="109" ht="43" customHeight="1" spans="1:14">
      <c r="A109" s="6" t="s">
        <v>112</v>
      </c>
      <c r="B109" s="6" t="s">
        <v>113</v>
      </c>
      <c r="C109" s="19" t="s">
        <v>22</v>
      </c>
      <c r="D109" s="11">
        <v>12.9</v>
      </c>
      <c r="E109" s="11">
        <v>12.9</v>
      </c>
      <c r="F109" s="11">
        <v>12.9</v>
      </c>
      <c r="G109" s="29">
        <f>2864.62*24*31/10000</f>
        <v>213.127728</v>
      </c>
      <c r="H109" s="29">
        <f>2864.62*24*30/10000</f>
        <v>206.25264</v>
      </c>
      <c r="I109" s="29">
        <f>2864.62*24*31/10000</f>
        <v>213.127728</v>
      </c>
      <c r="J109" s="27">
        <f t="shared" si="8"/>
        <v>0.027493476912</v>
      </c>
      <c r="K109" s="27">
        <f t="shared" si="9"/>
        <v>0.02660659056</v>
      </c>
      <c r="L109" s="27">
        <f t="shared" si="10"/>
        <v>0.027493476912</v>
      </c>
      <c r="M109" s="27">
        <f t="shared" si="12"/>
        <v>0.081593544384</v>
      </c>
      <c r="N109" s="13"/>
    </row>
    <row r="110" ht="43" customHeight="1" spans="1:14">
      <c r="A110" s="6" t="s">
        <v>114</v>
      </c>
      <c r="B110" s="6" t="s">
        <v>115</v>
      </c>
      <c r="C110" s="19" t="s">
        <v>22</v>
      </c>
      <c r="D110" s="11"/>
      <c r="E110" s="11"/>
      <c r="F110" s="11"/>
      <c r="G110" s="29"/>
      <c r="H110" s="29"/>
      <c r="I110" s="29"/>
      <c r="J110" s="27">
        <v>0</v>
      </c>
      <c r="K110" s="27">
        <v>0</v>
      </c>
      <c r="L110" s="27">
        <v>0</v>
      </c>
      <c r="M110" s="27">
        <f t="shared" si="12"/>
        <v>0</v>
      </c>
      <c r="N110" s="13"/>
    </row>
    <row r="111" ht="43" customHeight="1" spans="1:14">
      <c r="A111" s="6" t="s">
        <v>116</v>
      </c>
      <c r="B111" s="6" t="s">
        <v>117</v>
      </c>
      <c r="C111" s="19" t="s">
        <v>22</v>
      </c>
      <c r="D111" s="11"/>
      <c r="E111" s="11"/>
      <c r="F111" s="11"/>
      <c r="G111" s="29"/>
      <c r="H111" s="29"/>
      <c r="I111" s="29"/>
      <c r="J111" s="27">
        <v>0</v>
      </c>
      <c r="K111" s="27">
        <v>0</v>
      </c>
      <c r="L111" s="27">
        <v>0</v>
      </c>
      <c r="M111" s="27">
        <f t="shared" si="12"/>
        <v>0</v>
      </c>
      <c r="N111" s="13"/>
    </row>
    <row r="112" ht="43" customHeight="1" spans="1:14">
      <c r="A112" s="6" t="s">
        <v>118</v>
      </c>
      <c r="B112" s="6" t="s">
        <v>119</v>
      </c>
      <c r="C112" s="19" t="s">
        <v>22</v>
      </c>
      <c r="D112" s="11"/>
      <c r="E112" s="11"/>
      <c r="F112" s="11"/>
      <c r="G112" s="29"/>
      <c r="H112" s="29"/>
      <c r="I112" s="29"/>
      <c r="J112" s="27">
        <f t="shared" ref="J112:L113" si="13">D112*G112*10000/(1000*1000*1000)</f>
        <v>0</v>
      </c>
      <c r="K112" s="27">
        <f t="shared" si="13"/>
        <v>0</v>
      </c>
      <c r="L112" s="27">
        <f t="shared" si="13"/>
        <v>0</v>
      </c>
      <c r="M112" s="27">
        <f t="shared" si="12"/>
        <v>0</v>
      </c>
      <c r="N112" s="13"/>
    </row>
    <row r="113" ht="43" customHeight="1" spans="1:14">
      <c r="A113" s="6" t="s">
        <v>120</v>
      </c>
      <c r="B113" s="6" t="s">
        <v>121</v>
      </c>
      <c r="C113" s="19" t="s">
        <v>22</v>
      </c>
      <c r="D113" s="11"/>
      <c r="E113" s="11"/>
      <c r="F113" s="11"/>
      <c r="G113" s="29"/>
      <c r="H113" s="29"/>
      <c r="I113" s="29"/>
      <c r="J113" s="27">
        <f t="shared" si="13"/>
        <v>0</v>
      </c>
      <c r="K113" s="27">
        <f t="shared" si="13"/>
        <v>0</v>
      </c>
      <c r="L113" s="27">
        <f t="shared" si="13"/>
        <v>0</v>
      </c>
      <c r="M113" s="27">
        <f t="shared" ref="M113:M122" si="14">SUM(J113:L113)</f>
        <v>0</v>
      </c>
      <c r="N113" s="13"/>
    </row>
    <row r="114" ht="43" customHeight="1" spans="1:14">
      <c r="A114" s="6" t="s">
        <v>122</v>
      </c>
      <c r="B114" s="6" t="s">
        <v>123</v>
      </c>
      <c r="C114" s="19" t="s">
        <v>22</v>
      </c>
      <c r="D114" s="11"/>
      <c r="E114" s="11"/>
      <c r="F114" s="11"/>
      <c r="G114" s="29"/>
      <c r="H114" s="29"/>
      <c r="I114" s="29"/>
      <c r="J114" s="27">
        <v>0</v>
      </c>
      <c r="K114" s="27">
        <v>0</v>
      </c>
      <c r="L114" s="27">
        <v>0</v>
      </c>
      <c r="M114" s="27">
        <f t="shared" si="14"/>
        <v>0</v>
      </c>
      <c r="N114" s="13"/>
    </row>
    <row r="115" ht="43" customHeight="1" spans="1:14">
      <c r="A115" s="6" t="s">
        <v>124</v>
      </c>
      <c r="B115" s="6" t="s">
        <v>125</v>
      </c>
      <c r="C115" s="19" t="s">
        <v>22</v>
      </c>
      <c r="D115" s="11"/>
      <c r="E115" s="11"/>
      <c r="F115" s="11"/>
      <c r="G115" s="29"/>
      <c r="H115" s="29"/>
      <c r="I115" s="29"/>
      <c r="J115" s="27">
        <f t="shared" ref="J115:J122" si="15">D115*G115*10000/(1000*1000*1000)</f>
        <v>0</v>
      </c>
      <c r="K115" s="27">
        <f t="shared" ref="K115:K122" si="16">E115*H115*10000/(1000*1000*1000)</f>
        <v>0</v>
      </c>
      <c r="L115" s="27">
        <f t="shared" ref="L115:L122" si="17">F115*I115*10000/(1000*1000*1000)</f>
        <v>0</v>
      </c>
      <c r="M115" s="27">
        <f t="shared" si="14"/>
        <v>0</v>
      </c>
      <c r="N115" s="13"/>
    </row>
    <row r="116" ht="43" customHeight="1" spans="1:14">
      <c r="A116" s="6" t="s">
        <v>126</v>
      </c>
      <c r="B116" s="6" t="s">
        <v>127</v>
      </c>
      <c r="C116" s="19" t="s">
        <v>22</v>
      </c>
      <c r="D116" s="11">
        <v>11.8</v>
      </c>
      <c r="E116" s="11">
        <v>11.8</v>
      </c>
      <c r="F116" s="11">
        <v>11.8</v>
      </c>
      <c r="G116" s="29">
        <f>2246.75*24*31/10000</f>
        <v>167.1582</v>
      </c>
      <c r="H116" s="29">
        <f>2246.75*24*30/10000</f>
        <v>161.766</v>
      </c>
      <c r="I116" s="29">
        <f>2246.75*24*31/10000</f>
        <v>167.1582</v>
      </c>
      <c r="J116" s="27">
        <f t="shared" si="15"/>
        <v>0.0197246676</v>
      </c>
      <c r="K116" s="27">
        <f t="shared" si="16"/>
        <v>0.019088388</v>
      </c>
      <c r="L116" s="27">
        <f t="shared" si="17"/>
        <v>0.0197246676</v>
      </c>
      <c r="M116" s="27">
        <f t="shared" si="14"/>
        <v>0.0585377232</v>
      </c>
      <c r="N116" s="13"/>
    </row>
    <row r="117" ht="43" customHeight="1" spans="1:14">
      <c r="A117" s="6" t="s">
        <v>128</v>
      </c>
      <c r="B117" s="6" t="s">
        <v>129</v>
      </c>
      <c r="C117" s="19" t="s">
        <v>22</v>
      </c>
      <c r="D117" s="30">
        <v>11.8</v>
      </c>
      <c r="E117" s="30">
        <v>11.8</v>
      </c>
      <c r="F117" s="30">
        <v>11.8</v>
      </c>
      <c r="G117" s="29">
        <f>2231.82*24*31/10000</f>
        <v>166.047408</v>
      </c>
      <c r="H117" s="29">
        <f>2231.82*24*30/10000</f>
        <v>160.69104</v>
      </c>
      <c r="I117" s="29">
        <f>2231.82*24*31/10000</f>
        <v>166.047408</v>
      </c>
      <c r="J117" s="27">
        <f t="shared" si="15"/>
        <v>0.019593594144</v>
      </c>
      <c r="K117" s="27">
        <f t="shared" si="16"/>
        <v>0.01896154272</v>
      </c>
      <c r="L117" s="27">
        <f t="shared" si="17"/>
        <v>0.019593594144</v>
      </c>
      <c r="M117" s="27">
        <f t="shared" si="14"/>
        <v>0.058148731008</v>
      </c>
      <c r="N117" s="13"/>
    </row>
    <row r="118" ht="43" customHeight="1" spans="1:14">
      <c r="A118" s="6" t="s">
        <v>130</v>
      </c>
      <c r="B118" s="6" t="s">
        <v>131</v>
      </c>
      <c r="C118" s="19" t="s">
        <v>22</v>
      </c>
      <c r="D118" s="11">
        <v>11.4</v>
      </c>
      <c r="E118" s="11">
        <v>11.4</v>
      </c>
      <c r="F118" s="11">
        <v>11.4</v>
      </c>
      <c r="G118" s="29">
        <f>2264.46*24*31/10000</f>
        <v>168.475824</v>
      </c>
      <c r="H118" s="29">
        <f>2264.46*24*30/10000</f>
        <v>163.04112</v>
      </c>
      <c r="I118" s="29">
        <f>2264.46*24*31/10000</f>
        <v>168.475824</v>
      </c>
      <c r="J118" s="27">
        <f t="shared" si="15"/>
        <v>0.019206243936</v>
      </c>
      <c r="K118" s="27">
        <f t="shared" si="16"/>
        <v>0.01858668768</v>
      </c>
      <c r="L118" s="27">
        <f t="shared" si="17"/>
        <v>0.019206243936</v>
      </c>
      <c r="M118" s="27">
        <f t="shared" si="14"/>
        <v>0.056999175552</v>
      </c>
      <c r="N118" s="13"/>
    </row>
    <row r="119" ht="43" customHeight="1" spans="1:14">
      <c r="A119" s="6" t="s">
        <v>132</v>
      </c>
      <c r="B119" s="6" t="s">
        <v>133</v>
      </c>
      <c r="C119" s="19" t="s">
        <v>22</v>
      </c>
      <c r="D119" s="11">
        <v>12.4</v>
      </c>
      <c r="E119" s="11">
        <v>12.4</v>
      </c>
      <c r="F119" s="11">
        <v>12.4</v>
      </c>
      <c r="G119" s="29">
        <f>2305.41*24*31/10000</f>
        <v>171.522504</v>
      </c>
      <c r="H119" s="29">
        <f>2305.41*24*30/10000</f>
        <v>165.98952</v>
      </c>
      <c r="I119" s="29">
        <f>2305.41*24*31/10000</f>
        <v>171.522504</v>
      </c>
      <c r="J119" s="27">
        <f t="shared" si="15"/>
        <v>0.021268790496</v>
      </c>
      <c r="K119" s="27">
        <f t="shared" si="16"/>
        <v>0.02058270048</v>
      </c>
      <c r="L119" s="27">
        <f t="shared" si="17"/>
        <v>0.021268790496</v>
      </c>
      <c r="M119" s="27">
        <f t="shared" si="14"/>
        <v>0.063120281472</v>
      </c>
      <c r="N119" s="13"/>
    </row>
    <row r="120" ht="43" customHeight="1" spans="1:14">
      <c r="A120" s="6" t="s">
        <v>134</v>
      </c>
      <c r="B120" s="6" t="s">
        <v>135</v>
      </c>
      <c r="C120" s="19" t="s">
        <v>22</v>
      </c>
      <c r="D120" s="11">
        <v>12.1</v>
      </c>
      <c r="E120" s="11">
        <v>12.1</v>
      </c>
      <c r="F120" s="11">
        <v>12.1</v>
      </c>
      <c r="G120" s="29">
        <f>2193.94*24*31/10000</f>
        <v>163.229136</v>
      </c>
      <c r="H120" s="29">
        <f>2193.94*24*30/10000</f>
        <v>157.96368</v>
      </c>
      <c r="I120" s="29">
        <f>2193.94*24*31/10000</f>
        <v>163.229136</v>
      </c>
      <c r="J120" s="27">
        <f t="shared" si="15"/>
        <v>0.019750725456</v>
      </c>
      <c r="K120" s="27">
        <f t="shared" si="16"/>
        <v>0.01911360528</v>
      </c>
      <c r="L120" s="27">
        <f t="shared" si="17"/>
        <v>0.019750725456</v>
      </c>
      <c r="M120" s="27">
        <f t="shared" si="14"/>
        <v>0.058615056192</v>
      </c>
      <c r="N120" s="13"/>
    </row>
    <row r="121" ht="35" customHeight="1" spans="1:14">
      <c r="A121" s="6" t="s">
        <v>136</v>
      </c>
      <c r="B121" s="6" t="s">
        <v>137</v>
      </c>
      <c r="C121" s="19" t="s">
        <v>22</v>
      </c>
      <c r="D121" s="19"/>
      <c r="E121" s="19"/>
      <c r="F121" s="19"/>
      <c r="G121" s="22"/>
      <c r="H121" s="22"/>
      <c r="I121" s="22"/>
      <c r="J121" s="28">
        <f t="shared" si="15"/>
        <v>0</v>
      </c>
      <c r="K121" s="28">
        <f t="shared" si="16"/>
        <v>0</v>
      </c>
      <c r="L121" s="28">
        <f t="shared" si="17"/>
        <v>0</v>
      </c>
      <c r="M121" s="27">
        <f t="shared" si="14"/>
        <v>0</v>
      </c>
      <c r="N121" s="13"/>
    </row>
    <row r="122" ht="37" customHeight="1" spans="1:14">
      <c r="A122" s="6" t="s">
        <v>138</v>
      </c>
      <c r="B122" s="6" t="s">
        <v>139</v>
      </c>
      <c r="C122" s="19" t="s">
        <v>22</v>
      </c>
      <c r="D122" s="19"/>
      <c r="E122" s="19"/>
      <c r="F122" s="19"/>
      <c r="G122" s="22"/>
      <c r="H122" s="22"/>
      <c r="I122" s="22"/>
      <c r="J122" s="28">
        <f t="shared" si="15"/>
        <v>0</v>
      </c>
      <c r="K122" s="28">
        <f t="shared" si="16"/>
        <v>0</v>
      </c>
      <c r="L122" s="28">
        <f t="shared" si="17"/>
        <v>0</v>
      </c>
      <c r="M122" s="27">
        <f t="shared" si="14"/>
        <v>0</v>
      </c>
      <c r="N122" s="13"/>
    </row>
    <row r="123" ht="38" customHeight="1" spans="1:14">
      <c r="A123" s="6" t="s">
        <v>140</v>
      </c>
      <c r="B123" s="6" t="s">
        <v>141</v>
      </c>
      <c r="C123" s="19" t="s">
        <v>22</v>
      </c>
      <c r="D123" s="19"/>
      <c r="E123" s="19"/>
      <c r="F123" s="19"/>
      <c r="G123" s="22"/>
      <c r="H123" s="22"/>
      <c r="I123" s="22"/>
      <c r="J123" s="28">
        <v>0</v>
      </c>
      <c r="K123" s="28">
        <v>0</v>
      </c>
      <c r="L123" s="28">
        <v>0</v>
      </c>
      <c r="M123" s="27">
        <f t="shared" ref="M123:M147" si="18">SUM(J123:L123)</f>
        <v>0</v>
      </c>
      <c r="N123" s="13"/>
    </row>
    <row r="124" ht="36" customHeight="1" spans="1:14">
      <c r="A124" s="6" t="s">
        <v>142</v>
      </c>
      <c r="B124" s="6" t="s">
        <v>119</v>
      </c>
      <c r="C124" s="19" t="s">
        <v>22</v>
      </c>
      <c r="D124" s="19"/>
      <c r="E124" s="19"/>
      <c r="F124" s="19"/>
      <c r="G124" s="22"/>
      <c r="H124" s="22"/>
      <c r="I124" s="22"/>
      <c r="J124" s="28">
        <v>0</v>
      </c>
      <c r="K124" s="28">
        <v>0</v>
      </c>
      <c r="L124" s="28">
        <v>0</v>
      </c>
      <c r="M124" s="27">
        <f t="shared" si="18"/>
        <v>0</v>
      </c>
      <c r="N124" s="23"/>
    </row>
    <row r="125" ht="30" customHeight="1" spans="1:14">
      <c r="A125" s="31" t="s">
        <v>143</v>
      </c>
      <c r="B125" s="10" t="s">
        <v>144</v>
      </c>
      <c r="C125" s="19" t="s">
        <v>15</v>
      </c>
      <c r="D125" s="19">
        <v>46.5995</v>
      </c>
      <c r="E125" s="19">
        <v>30.5973</v>
      </c>
      <c r="F125" s="19"/>
      <c r="G125" s="20">
        <v>347.7188</v>
      </c>
      <c r="H125" s="20">
        <v>824.8232</v>
      </c>
      <c r="I125" s="20"/>
      <c r="J125" s="28">
        <v>0.173649</v>
      </c>
      <c r="K125" s="28">
        <v>0.376228</v>
      </c>
      <c r="L125" s="28">
        <v>0</v>
      </c>
      <c r="M125" s="27">
        <f t="shared" si="18"/>
        <v>0.549877</v>
      </c>
      <c r="N125" s="10" t="s">
        <v>145</v>
      </c>
    </row>
    <row r="126" ht="30" customHeight="1" spans="1:14">
      <c r="A126" s="32"/>
      <c r="B126" s="13"/>
      <c r="C126" s="19" t="s">
        <v>17</v>
      </c>
      <c r="D126" s="19">
        <v>0.3467</v>
      </c>
      <c r="E126" s="19">
        <v>3.2641</v>
      </c>
      <c r="F126" s="19"/>
      <c r="G126" s="21"/>
      <c r="H126" s="21"/>
      <c r="I126" s="21"/>
      <c r="J126" s="28">
        <v>0.001703</v>
      </c>
      <c r="K126" s="28">
        <v>0.057492</v>
      </c>
      <c r="L126" s="28">
        <v>0</v>
      </c>
      <c r="M126" s="27">
        <f t="shared" si="18"/>
        <v>0.059195</v>
      </c>
      <c r="N126" s="13"/>
    </row>
    <row r="127" ht="30" customHeight="1" spans="1:14">
      <c r="A127" s="32"/>
      <c r="B127" s="13"/>
      <c r="C127" s="6" t="s">
        <v>146</v>
      </c>
      <c r="D127" s="19">
        <v>0.000401</v>
      </c>
      <c r="E127" s="19">
        <v>0.000401</v>
      </c>
      <c r="F127" s="19"/>
      <c r="G127" s="21"/>
      <c r="H127" s="21"/>
      <c r="I127" s="21"/>
      <c r="J127" s="28">
        <f>D127*G125*10000/(1000*1000*1000)</f>
        <v>1.394352388e-6</v>
      </c>
      <c r="K127" s="28">
        <f>E127*H125*10000/(1000*1000*1000)</f>
        <v>3.307541032e-6</v>
      </c>
      <c r="L127" s="28">
        <f>F127*I125*10000/(1000*1000*1000)</f>
        <v>0</v>
      </c>
      <c r="M127" s="27">
        <f t="shared" si="18"/>
        <v>4.70189342e-6</v>
      </c>
      <c r="N127" s="13"/>
    </row>
    <row r="128" ht="30" customHeight="1" spans="1:14">
      <c r="A128" s="32"/>
      <c r="B128" s="13"/>
      <c r="C128" s="6" t="s">
        <v>147</v>
      </c>
      <c r="D128" s="19">
        <v>0.09</v>
      </c>
      <c r="E128" s="19">
        <v>0.09</v>
      </c>
      <c r="F128" s="19"/>
      <c r="G128" s="21"/>
      <c r="H128" s="21"/>
      <c r="I128" s="21"/>
      <c r="J128" s="28">
        <f>D128*G125*10000/(1000*1000*1000)</f>
        <v>0.00031294692</v>
      </c>
      <c r="K128" s="28">
        <f>E128*H125*10000/(1000*1000*1000)</f>
        <v>0.00074234088</v>
      </c>
      <c r="L128" s="28">
        <f>F128*I125*10000/(1000*1000*1000)</f>
        <v>0</v>
      </c>
      <c r="M128" s="27">
        <f t="shared" si="18"/>
        <v>0.0010552878</v>
      </c>
      <c r="N128" s="13"/>
    </row>
    <row r="129" ht="30" customHeight="1" spans="1:14">
      <c r="A129" s="32"/>
      <c r="B129" s="13"/>
      <c r="C129" s="19" t="s">
        <v>52</v>
      </c>
      <c r="D129" s="19">
        <v>34</v>
      </c>
      <c r="E129" s="19">
        <v>34</v>
      </c>
      <c r="F129" s="19"/>
      <c r="G129" s="21"/>
      <c r="H129" s="21"/>
      <c r="I129" s="21"/>
      <c r="J129" s="28">
        <f>D129*G125*10000/(1000*1000*1000)</f>
        <v>0.118224392</v>
      </c>
      <c r="K129" s="28">
        <f>E129*H125*10000/(1000*1000*1000)</f>
        <v>0.280439888</v>
      </c>
      <c r="L129" s="28">
        <f>F129*I125*10000/(1000*1000*1000)</f>
        <v>0</v>
      </c>
      <c r="M129" s="27">
        <f t="shared" si="18"/>
        <v>0.39866428</v>
      </c>
      <c r="N129" s="13"/>
    </row>
    <row r="130" ht="30" customHeight="1" spans="1:14">
      <c r="A130" s="32"/>
      <c r="B130" s="13"/>
      <c r="C130" s="19" t="s">
        <v>22</v>
      </c>
      <c r="D130" s="19">
        <v>6.85</v>
      </c>
      <c r="E130" s="19">
        <v>6.85</v>
      </c>
      <c r="F130" s="2"/>
      <c r="G130" s="21"/>
      <c r="H130" s="21"/>
      <c r="I130" s="21"/>
      <c r="J130" s="28">
        <f>D130*G125*10000/(1000*1000*1000)</f>
        <v>0.0238187378</v>
      </c>
      <c r="K130" s="28">
        <f>E130*H125*10000/(1000*1000*1000)</f>
        <v>0.0565003892</v>
      </c>
      <c r="L130" s="28">
        <f>F130*I125*10000/(1000*1000*1000)</f>
        <v>0</v>
      </c>
      <c r="M130" s="27">
        <f t="shared" si="18"/>
        <v>0.080319127</v>
      </c>
      <c r="N130" s="13"/>
    </row>
    <row r="131" ht="30" customHeight="1" spans="1:14">
      <c r="A131" s="33"/>
      <c r="B131" s="23"/>
      <c r="C131" s="6" t="s">
        <v>148</v>
      </c>
      <c r="D131" s="19">
        <v>1</v>
      </c>
      <c r="E131" s="19">
        <v>1</v>
      </c>
      <c r="F131" s="19"/>
      <c r="G131" s="24"/>
      <c r="H131" s="24"/>
      <c r="I131" s="24"/>
      <c r="J131" s="28">
        <f>D131*G125*10000/(1000*1000*1000)</f>
        <v>0.003477188</v>
      </c>
      <c r="K131" s="28">
        <f>E131*H125*10000/(1000*1000*1000)</f>
        <v>0.008248232</v>
      </c>
      <c r="L131" s="28">
        <f>F131*I125*10000/(1000*1000*1000)</f>
        <v>0</v>
      </c>
      <c r="M131" s="27">
        <f t="shared" si="18"/>
        <v>0.01172542</v>
      </c>
      <c r="N131" s="23"/>
    </row>
    <row r="132" ht="30" customHeight="1" spans="1:14">
      <c r="A132" s="31" t="s">
        <v>149</v>
      </c>
      <c r="B132" s="10" t="s">
        <v>150</v>
      </c>
      <c r="C132" s="19" t="s">
        <v>15</v>
      </c>
      <c r="D132" s="19"/>
      <c r="E132" s="19"/>
      <c r="F132" s="19"/>
      <c r="G132" s="20"/>
      <c r="H132" s="20"/>
      <c r="I132" s="20"/>
      <c r="J132" s="28">
        <v>0</v>
      </c>
      <c r="K132" s="28">
        <v>0</v>
      </c>
      <c r="L132" s="28">
        <v>0</v>
      </c>
      <c r="M132" s="27">
        <f t="shared" si="18"/>
        <v>0</v>
      </c>
      <c r="N132" s="19" t="s">
        <v>151</v>
      </c>
    </row>
    <row r="133" ht="30" customHeight="1" spans="1:14">
      <c r="A133" s="32"/>
      <c r="B133" s="13"/>
      <c r="C133" s="19" t="s">
        <v>17</v>
      </c>
      <c r="D133" s="19"/>
      <c r="E133" s="19"/>
      <c r="F133" s="19"/>
      <c r="G133" s="21"/>
      <c r="H133" s="21"/>
      <c r="I133" s="21"/>
      <c r="J133" s="28">
        <v>0</v>
      </c>
      <c r="K133" s="28">
        <v>0</v>
      </c>
      <c r="L133" s="28">
        <v>0</v>
      </c>
      <c r="M133" s="27">
        <f t="shared" si="18"/>
        <v>0</v>
      </c>
      <c r="N133" s="19"/>
    </row>
    <row r="134" ht="30" customHeight="1" spans="1:14">
      <c r="A134" s="32"/>
      <c r="B134" s="13"/>
      <c r="C134" s="6" t="s">
        <v>147</v>
      </c>
      <c r="D134" s="19"/>
      <c r="E134" s="19"/>
      <c r="F134" s="19"/>
      <c r="G134" s="21"/>
      <c r="H134" s="21"/>
      <c r="I134" s="21"/>
      <c r="J134" s="28">
        <v>0</v>
      </c>
      <c r="K134" s="28">
        <v>0</v>
      </c>
      <c r="L134" s="28">
        <v>0</v>
      </c>
      <c r="M134" s="27">
        <f t="shared" si="18"/>
        <v>0</v>
      </c>
      <c r="N134" s="19"/>
    </row>
    <row r="135" ht="30" customHeight="1" spans="1:14">
      <c r="A135" s="33"/>
      <c r="B135" s="23"/>
      <c r="C135" s="19" t="s">
        <v>52</v>
      </c>
      <c r="D135" s="19"/>
      <c r="E135" s="19"/>
      <c r="F135" s="19"/>
      <c r="G135" s="24"/>
      <c r="H135" s="24"/>
      <c r="I135" s="24"/>
      <c r="J135" s="28">
        <v>0</v>
      </c>
      <c r="K135" s="28">
        <v>0</v>
      </c>
      <c r="L135" s="28">
        <v>0</v>
      </c>
      <c r="M135" s="27">
        <f t="shared" si="18"/>
        <v>0</v>
      </c>
      <c r="N135" s="19"/>
    </row>
    <row r="136" ht="30" customHeight="1" spans="1:14">
      <c r="A136" s="31" t="s">
        <v>152</v>
      </c>
      <c r="B136" s="10" t="s">
        <v>153</v>
      </c>
      <c r="C136" s="19" t="s">
        <v>15</v>
      </c>
      <c r="D136" s="19"/>
      <c r="E136" s="19"/>
      <c r="F136" s="19"/>
      <c r="G136" s="20"/>
      <c r="H136" s="20"/>
      <c r="I136" s="20"/>
      <c r="J136" s="28">
        <f>D136*G136*10000/(1000*1000*1000)</f>
        <v>0</v>
      </c>
      <c r="K136" s="28">
        <f>E136*H136*10000/(1000*1000*1000)</f>
        <v>0</v>
      </c>
      <c r="L136" s="28">
        <f>F136*I136*10000/(1000*1000*1000)</f>
        <v>0</v>
      </c>
      <c r="M136" s="27">
        <f t="shared" si="18"/>
        <v>0</v>
      </c>
      <c r="N136" s="13" t="s">
        <v>154</v>
      </c>
    </row>
    <row r="137" ht="30" customHeight="1" spans="1:14">
      <c r="A137" s="32"/>
      <c r="B137" s="13"/>
      <c r="C137" s="19" t="s">
        <v>17</v>
      </c>
      <c r="D137" s="19"/>
      <c r="E137" s="19"/>
      <c r="F137" s="19"/>
      <c r="G137" s="21"/>
      <c r="H137" s="21"/>
      <c r="I137" s="21"/>
      <c r="J137" s="28">
        <f>D137*G136*10000/(1000*1000*1000)</f>
        <v>0</v>
      </c>
      <c r="K137" s="28">
        <f>E137*H136*10000/(1000*1000*1000)</f>
        <v>0</v>
      </c>
      <c r="L137" s="28">
        <f>F137*I136*10000/(1000*1000*1000)</f>
        <v>0</v>
      </c>
      <c r="M137" s="27">
        <f t="shared" ref="M137:M142" si="19">SUM(J137:L137)</f>
        <v>0</v>
      </c>
      <c r="N137" s="13"/>
    </row>
    <row r="138" ht="30" customHeight="1" spans="1:14">
      <c r="A138" s="32"/>
      <c r="B138" s="13"/>
      <c r="C138" s="6" t="s">
        <v>18</v>
      </c>
      <c r="D138" s="19"/>
      <c r="E138" s="19"/>
      <c r="F138" s="19"/>
      <c r="G138" s="21"/>
      <c r="H138" s="21"/>
      <c r="I138" s="21"/>
      <c r="J138" s="28">
        <f>D138*G136*10000/(1000*1000*1000)</f>
        <v>0</v>
      </c>
      <c r="K138" s="28">
        <f>E138*H136*10000/(1000*1000*1000)</f>
        <v>0</v>
      </c>
      <c r="L138" s="28">
        <f>F138*I136*10000/(1000*1000*1000)</f>
        <v>0</v>
      </c>
      <c r="M138" s="27">
        <f t="shared" si="19"/>
        <v>0</v>
      </c>
      <c r="N138" s="13"/>
    </row>
    <row r="139" ht="30" customHeight="1" spans="1:14">
      <c r="A139" s="32"/>
      <c r="B139" s="13"/>
      <c r="C139" s="6" t="s">
        <v>19</v>
      </c>
      <c r="D139" s="19"/>
      <c r="E139" s="19"/>
      <c r="F139" s="19"/>
      <c r="G139" s="21"/>
      <c r="H139" s="21"/>
      <c r="I139" s="21"/>
      <c r="J139" s="28">
        <f>D139*G136*10000/(1000*1000*1000)</f>
        <v>0</v>
      </c>
      <c r="K139" s="28">
        <f>E139*H136*10000/(1000*1000*1000)</f>
        <v>0</v>
      </c>
      <c r="L139" s="28">
        <f>F139*I136*10000/(1000*1000*1000)</f>
        <v>0</v>
      </c>
      <c r="M139" s="27">
        <f t="shared" si="19"/>
        <v>0</v>
      </c>
      <c r="N139" s="13"/>
    </row>
    <row r="140" ht="30" customHeight="1" spans="1:14">
      <c r="A140" s="32"/>
      <c r="B140" s="13"/>
      <c r="C140" s="19" t="s">
        <v>52</v>
      </c>
      <c r="D140" s="19"/>
      <c r="E140" s="19"/>
      <c r="F140" s="19"/>
      <c r="G140" s="21"/>
      <c r="H140" s="21"/>
      <c r="I140" s="21"/>
      <c r="J140" s="28">
        <f>D140*G136*10000/(1000*1000*1000)</f>
        <v>0</v>
      </c>
      <c r="K140" s="28">
        <f>E140*H136*10000/(1000*1000*1000)</f>
        <v>0</v>
      </c>
      <c r="L140" s="28">
        <f>F140*I136*10000/(1000*1000*1000)</f>
        <v>0</v>
      </c>
      <c r="M140" s="27">
        <f t="shared" si="19"/>
        <v>0</v>
      </c>
      <c r="N140" s="13"/>
    </row>
    <row r="141" ht="30" customHeight="1" spans="1:14">
      <c r="A141" s="32"/>
      <c r="B141" s="13"/>
      <c r="C141" s="19" t="s">
        <v>22</v>
      </c>
      <c r="D141" s="19"/>
      <c r="E141" s="19"/>
      <c r="F141" s="19"/>
      <c r="G141" s="21"/>
      <c r="H141" s="21"/>
      <c r="I141" s="21"/>
      <c r="J141" s="28">
        <f>D141*G136*10000/(1000*1000*1000)</f>
        <v>0</v>
      </c>
      <c r="K141" s="28">
        <f>E141*H136*10000/(1000*1000*1000)</f>
        <v>0</v>
      </c>
      <c r="L141" s="28">
        <f>F141*I136*10000/(1000*1000*1000)</f>
        <v>0</v>
      </c>
      <c r="M141" s="27">
        <f t="shared" si="19"/>
        <v>0</v>
      </c>
      <c r="N141" s="13"/>
    </row>
    <row r="142" ht="30" customHeight="1" spans="1:14">
      <c r="A142" s="33"/>
      <c r="B142" s="23"/>
      <c r="C142" s="6" t="s">
        <v>155</v>
      </c>
      <c r="D142" s="19"/>
      <c r="E142" s="19"/>
      <c r="F142" s="19"/>
      <c r="G142" s="24"/>
      <c r="H142" s="24"/>
      <c r="I142" s="24"/>
      <c r="J142" s="28">
        <f>D142*G136*10000/(1000*1000*1000)</f>
        <v>0</v>
      </c>
      <c r="K142" s="28">
        <f>E142*H136*10000/(1000*1000*1000)</f>
        <v>0</v>
      </c>
      <c r="L142" s="28">
        <f>F142*I136*10000/(1000*1000*1000)</f>
        <v>0</v>
      </c>
      <c r="M142" s="27">
        <f t="shared" si="19"/>
        <v>0</v>
      </c>
      <c r="N142" s="23"/>
    </row>
    <row r="143" ht="37" customHeight="1" spans="1:14">
      <c r="A143" s="19" t="s">
        <v>156</v>
      </c>
      <c r="B143" s="6" t="s">
        <v>157</v>
      </c>
      <c r="C143" s="6" t="s">
        <v>17</v>
      </c>
      <c r="D143" s="19">
        <v>7.1</v>
      </c>
      <c r="E143" s="19">
        <v>7.1</v>
      </c>
      <c r="F143" s="19">
        <v>7.1</v>
      </c>
      <c r="G143" s="22">
        <f>22812*24*31/10000</f>
        <v>1697.2128</v>
      </c>
      <c r="H143" s="22">
        <f>22812*24*30/10000</f>
        <v>1642.464</v>
      </c>
      <c r="I143" s="22">
        <f>22812*24*31/10000</f>
        <v>1697.2128</v>
      </c>
      <c r="J143" s="28">
        <f>D143*G143*10000/(1000*1000*1000)</f>
        <v>0.1205021088</v>
      </c>
      <c r="K143" s="28">
        <f>E143*H143*10000/(1000*1000*1000)</f>
        <v>0.116614944</v>
      </c>
      <c r="L143" s="28">
        <f>F143*I143*10000/(1000*1000*1000)</f>
        <v>0.1205021088</v>
      </c>
      <c r="M143" s="27">
        <f t="shared" si="18"/>
        <v>0.3576191616</v>
      </c>
      <c r="N143" s="6" t="s">
        <v>27</v>
      </c>
    </row>
    <row r="144" ht="30" customHeight="1" spans="1:14">
      <c r="A144" s="31" t="s">
        <v>158</v>
      </c>
      <c r="B144" s="10" t="s">
        <v>65</v>
      </c>
      <c r="C144" s="6" t="s">
        <v>17</v>
      </c>
      <c r="D144" s="19">
        <v>4</v>
      </c>
      <c r="E144" s="19">
        <v>5.3</v>
      </c>
      <c r="F144" s="19">
        <v>5.1</v>
      </c>
      <c r="G144" s="20">
        <f>91139*24*31/10000</f>
        <v>6780.7416</v>
      </c>
      <c r="H144" s="20">
        <f>90025*24*30/10000</f>
        <v>6481.8</v>
      </c>
      <c r="I144" s="20">
        <f>97418*24*31/10000</f>
        <v>7247.8992</v>
      </c>
      <c r="J144" s="28">
        <f>D144*G144*10000/(1000*1000*1000)</f>
        <v>0.271229664</v>
      </c>
      <c r="K144" s="28">
        <f>E144*H144*10000/(1000*1000*1000)</f>
        <v>0.3435354</v>
      </c>
      <c r="L144" s="28">
        <f>F144*I144*10000/(1000*1000*1000)</f>
        <v>0.3696428592</v>
      </c>
      <c r="M144" s="27">
        <f t="shared" si="18"/>
        <v>0.9844079232</v>
      </c>
      <c r="N144" s="10" t="s">
        <v>27</v>
      </c>
    </row>
    <row r="145" ht="30" customHeight="1" spans="1:14">
      <c r="A145" s="32"/>
      <c r="B145" s="13"/>
      <c r="C145" s="6" t="s">
        <v>15</v>
      </c>
      <c r="D145" s="19">
        <v>8</v>
      </c>
      <c r="E145" s="19">
        <v>3</v>
      </c>
      <c r="F145" s="19">
        <v>3</v>
      </c>
      <c r="G145" s="21"/>
      <c r="H145" s="21"/>
      <c r="I145" s="21"/>
      <c r="J145" s="28">
        <f>D145*G144*10000/(1000*1000*1000)</f>
        <v>0.542459328</v>
      </c>
      <c r="K145" s="28">
        <f>E145*H144*10000/(1000*1000*1000)</f>
        <v>0.194454</v>
      </c>
      <c r="L145" s="28">
        <f>F145*I144*10000/(1000*1000*1000)</f>
        <v>0.217436976</v>
      </c>
      <c r="M145" s="27">
        <f t="shared" si="18"/>
        <v>0.954350304</v>
      </c>
      <c r="N145" s="13"/>
    </row>
    <row r="146" ht="30" customHeight="1" spans="1:14">
      <c r="A146" s="32"/>
      <c r="B146" s="13"/>
      <c r="C146" s="6" t="s">
        <v>52</v>
      </c>
      <c r="D146" s="19">
        <v>141</v>
      </c>
      <c r="E146" s="19">
        <v>190</v>
      </c>
      <c r="F146" s="19">
        <v>57</v>
      </c>
      <c r="G146" s="21"/>
      <c r="H146" s="21"/>
      <c r="I146" s="21"/>
      <c r="J146" s="28">
        <f>D146*G144*10000/(1000*1000*1000)</f>
        <v>9.560845656</v>
      </c>
      <c r="K146" s="28">
        <f>E146*H144*10000/(1000*1000*1000)</f>
        <v>12.31542</v>
      </c>
      <c r="L146" s="28">
        <f>F146*I144*10000/(1000*1000*1000)</f>
        <v>4.131302544</v>
      </c>
      <c r="M146" s="27">
        <f t="shared" si="18"/>
        <v>26.0075682</v>
      </c>
      <c r="N146" s="13"/>
    </row>
    <row r="147" ht="30" customHeight="1" spans="1:14">
      <c r="A147" s="32"/>
      <c r="B147" s="13"/>
      <c r="C147" s="6" t="s">
        <v>159</v>
      </c>
      <c r="D147" s="19">
        <v>0.112</v>
      </c>
      <c r="E147" s="19">
        <v>0.0113</v>
      </c>
      <c r="F147" s="19">
        <v>0.00412</v>
      </c>
      <c r="G147" s="21"/>
      <c r="H147" s="21"/>
      <c r="I147" s="21"/>
      <c r="J147" s="28">
        <f>D147*G144*10000/(1000*1000*1000)</f>
        <v>0.007594430592</v>
      </c>
      <c r="K147" s="28">
        <f>E147*H144*10000/(1000*1000*1000)</f>
        <v>0.0007324434</v>
      </c>
      <c r="L147" s="28">
        <f>F147*I144*10000/(1000*1000*1000)</f>
        <v>0.00029861344704</v>
      </c>
      <c r="M147" s="27">
        <f t="shared" si="18"/>
        <v>0.00862548743904</v>
      </c>
      <c r="N147" s="13"/>
    </row>
    <row r="148" ht="30" customHeight="1" spans="1:14">
      <c r="A148" s="32"/>
      <c r="B148" s="13"/>
      <c r="C148" s="6" t="s">
        <v>147</v>
      </c>
      <c r="D148" s="19">
        <v>0.07</v>
      </c>
      <c r="E148" s="19">
        <v>0.07</v>
      </c>
      <c r="F148" s="19">
        <v>0.07</v>
      </c>
      <c r="G148" s="21"/>
      <c r="H148" s="21"/>
      <c r="I148" s="21"/>
      <c r="J148" s="28">
        <f>D148*G144*10000/(1000*1000*1000)</f>
        <v>0.00474651912</v>
      </c>
      <c r="K148" s="28">
        <f>E148*H144*10000/(1000*1000*1000)</f>
        <v>0.00453726</v>
      </c>
      <c r="L148" s="28">
        <f>F148*I144*10000/(1000*1000*1000)</f>
        <v>0.00507352944</v>
      </c>
      <c r="M148" s="27">
        <f t="shared" ref="M148:M166" si="20">SUM(J148:L148)</f>
        <v>0.01435730856</v>
      </c>
      <c r="N148" s="13"/>
    </row>
    <row r="149" ht="30" customHeight="1" spans="1:14">
      <c r="A149" s="32"/>
      <c r="B149" s="13"/>
      <c r="C149" s="6" t="s">
        <v>33</v>
      </c>
      <c r="D149" s="19">
        <v>0.000521</v>
      </c>
      <c r="E149" s="19">
        <v>0.000432</v>
      </c>
      <c r="F149" s="19">
        <v>0.000309</v>
      </c>
      <c r="G149" s="21"/>
      <c r="H149" s="21"/>
      <c r="I149" s="21"/>
      <c r="J149" s="28">
        <f>D149*G144*10000/(1000*1000*1000)</f>
        <v>3.5327663736e-5</v>
      </c>
      <c r="K149" s="28">
        <f>E149*H144*10000/(1000*1000*1000)</f>
        <v>2.8001376e-5</v>
      </c>
      <c r="L149" s="28">
        <f>F149*I144*10000/(1000*1000*1000)</f>
        <v>2.2396008528e-5</v>
      </c>
      <c r="M149" s="27">
        <f t="shared" si="20"/>
        <v>8.5725048264e-5</v>
      </c>
      <c r="N149" s="13"/>
    </row>
    <row r="150" ht="30" customHeight="1" spans="1:14">
      <c r="A150" s="33"/>
      <c r="B150" s="23"/>
      <c r="C150" s="6" t="s">
        <v>22</v>
      </c>
      <c r="D150" s="19">
        <v>12.6</v>
      </c>
      <c r="E150" s="19">
        <v>12.6</v>
      </c>
      <c r="F150" s="19">
        <v>12.6</v>
      </c>
      <c r="G150" s="24"/>
      <c r="H150" s="24"/>
      <c r="I150" s="24"/>
      <c r="J150" s="28">
        <f>D150*G144*10000/(1000*1000*1000)</f>
        <v>0.8543734416</v>
      </c>
      <c r="K150" s="28">
        <f>E150*H144*10000/(1000*1000*1000)</f>
        <v>0.8167068</v>
      </c>
      <c r="L150" s="28">
        <f>F150*I144*10000/(1000*1000*1000)</f>
        <v>0.9132352992</v>
      </c>
      <c r="M150" s="27">
        <f t="shared" si="20"/>
        <v>2.5843155408</v>
      </c>
      <c r="N150" s="23"/>
    </row>
    <row r="151" ht="30" customHeight="1" spans="1:14">
      <c r="A151" s="31" t="s">
        <v>160</v>
      </c>
      <c r="B151" s="10" t="s">
        <v>161</v>
      </c>
      <c r="C151" s="6" t="s">
        <v>17</v>
      </c>
      <c r="D151" s="19">
        <v>8.7</v>
      </c>
      <c r="E151" s="19">
        <v>8.7</v>
      </c>
      <c r="F151" s="19">
        <v>8.7</v>
      </c>
      <c r="G151" s="20">
        <f>76016*24*31/10000</f>
        <v>5655.5904</v>
      </c>
      <c r="H151" s="20">
        <f>76016*24*30/10000</f>
        <v>5473.152</v>
      </c>
      <c r="I151" s="20">
        <f>76016*24*31/10000</f>
        <v>5655.5904</v>
      </c>
      <c r="J151" s="28">
        <f>D151*G151*10000/(1000*1000*1000)</f>
        <v>0.4920363648</v>
      </c>
      <c r="K151" s="28">
        <f>E151*H151*10000/(1000*1000*1000)</f>
        <v>0.476164224</v>
      </c>
      <c r="L151" s="28">
        <f>F151*I151*10000/(1000*1000*1000)</f>
        <v>0.4920363648</v>
      </c>
      <c r="M151" s="27">
        <f t="shared" si="20"/>
        <v>1.4602369536</v>
      </c>
      <c r="N151" s="10" t="s">
        <v>27</v>
      </c>
    </row>
    <row r="152" ht="30" customHeight="1" spans="1:14">
      <c r="A152" s="32"/>
      <c r="B152" s="13"/>
      <c r="C152" s="6" t="s">
        <v>15</v>
      </c>
      <c r="D152" s="19">
        <v>3</v>
      </c>
      <c r="E152" s="19">
        <v>3</v>
      </c>
      <c r="F152" s="19">
        <v>3</v>
      </c>
      <c r="G152" s="21"/>
      <c r="H152" s="21"/>
      <c r="I152" s="21"/>
      <c r="J152" s="28">
        <f>D152*G151*10000/(1000*1000*1000)</f>
        <v>0.169667712</v>
      </c>
      <c r="K152" s="28">
        <f>E152*H151*10000/(1000*1000*1000)</f>
        <v>0.16419456</v>
      </c>
      <c r="L152" s="28">
        <f>F152*I151*10000/(1000*1000*1000)</f>
        <v>0.169667712</v>
      </c>
      <c r="M152" s="27">
        <f t="shared" si="20"/>
        <v>0.503529984</v>
      </c>
      <c r="N152" s="13"/>
    </row>
    <row r="153" ht="30" customHeight="1" spans="1:14">
      <c r="A153" s="32"/>
      <c r="B153" s="13"/>
      <c r="C153" s="6" t="s">
        <v>147</v>
      </c>
      <c r="D153" s="19">
        <v>0.0857</v>
      </c>
      <c r="E153" s="19">
        <v>0.0857</v>
      </c>
      <c r="F153" s="19">
        <v>0.0857</v>
      </c>
      <c r="G153" s="21"/>
      <c r="H153" s="21"/>
      <c r="I153" s="21"/>
      <c r="J153" s="28">
        <f>D153*G151*10000/(1000*1000*1000)</f>
        <v>0.0048468409728</v>
      </c>
      <c r="K153" s="28">
        <f>E153*H151*10000/(1000*1000*1000)</f>
        <v>0.004690491264</v>
      </c>
      <c r="L153" s="28">
        <f>F153*I151*10000/(1000*1000*1000)</f>
        <v>0.0048468409728</v>
      </c>
      <c r="M153" s="27">
        <f t="shared" si="20"/>
        <v>0.0143841732096</v>
      </c>
      <c r="N153" s="13"/>
    </row>
    <row r="154" ht="30" customHeight="1" spans="1:14">
      <c r="A154" s="33"/>
      <c r="B154" s="23"/>
      <c r="C154" s="6" t="s">
        <v>52</v>
      </c>
      <c r="D154" s="19">
        <v>15</v>
      </c>
      <c r="E154" s="19">
        <v>15</v>
      </c>
      <c r="F154" s="19">
        <v>15</v>
      </c>
      <c r="G154" s="24"/>
      <c r="H154" s="24"/>
      <c r="I154" s="24"/>
      <c r="J154" s="28">
        <f>D154*G151*10000/(1000*1000*1000)</f>
        <v>0.84833856</v>
      </c>
      <c r="K154" s="28">
        <f>E154*H151*10000/(1000*1000*1000)</f>
        <v>0.8209728</v>
      </c>
      <c r="L154" s="28">
        <f>F154*I151*10000/(1000*1000*1000)</f>
        <v>0.84833856</v>
      </c>
      <c r="M154" s="27">
        <f t="shared" si="20"/>
        <v>2.51764992</v>
      </c>
      <c r="N154" s="23"/>
    </row>
    <row r="155" ht="30" customHeight="1" spans="1:14">
      <c r="A155" s="31" t="s">
        <v>162</v>
      </c>
      <c r="B155" s="10" t="s">
        <v>163</v>
      </c>
      <c r="C155" s="6" t="s">
        <v>17</v>
      </c>
      <c r="D155" s="19">
        <v>6.8</v>
      </c>
      <c r="E155" s="19">
        <v>6.3</v>
      </c>
      <c r="F155" s="19">
        <v>7.5</v>
      </c>
      <c r="G155" s="20">
        <f>113695*24*30/10000</f>
        <v>8186.04</v>
      </c>
      <c r="H155" s="20">
        <f>92331*24*30/10000</f>
        <v>6647.832</v>
      </c>
      <c r="I155" s="20">
        <f>115186*24*31/10000</f>
        <v>8569.8384</v>
      </c>
      <c r="J155" s="19">
        <f>D155*G155*10000/(1000*1000*1000)</f>
        <v>0.55665072</v>
      </c>
      <c r="K155" s="19">
        <f>E155*H155*10000/(1000*1000*1000)</f>
        <v>0.418813416</v>
      </c>
      <c r="L155" s="19">
        <f>F155*I155*10000/(1000*1000*1000)</f>
        <v>0.64273788</v>
      </c>
      <c r="M155" s="27">
        <f t="shared" si="20"/>
        <v>1.618202016</v>
      </c>
      <c r="N155" s="10" t="s">
        <v>27</v>
      </c>
    </row>
    <row r="156" ht="30" customHeight="1" spans="1:14">
      <c r="A156" s="32"/>
      <c r="B156" s="13"/>
      <c r="C156" s="6" t="s">
        <v>15</v>
      </c>
      <c r="D156" s="19">
        <v>3</v>
      </c>
      <c r="E156" s="19">
        <v>3</v>
      </c>
      <c r="F156" s="19">
        <v>3</v>
      </c>
      <c r="G156" s="21"/>
      <c r="H156" s="21"/>
      <c r="I156" s="21"/>
      <c r="J156" s="19">
        <f>D156*G155*10000/(1000*1000*1000)</f>
        <v>0.2455812</v>
      </c>
      <c r="K156" s="19">
        <f>E156*H155*10000/(1000*1000*1000)</f>
        <v>0.19943496</v>
      </c>
      <c r="L156" s="19">
        <f>F156*I155*10000/(1000*1000*1000)</f>
        <v>0.257095152</v>
      </c>
      <c r="M156" s="27">
        <f t="shared" si="20"/>
        <v>0.702111312</v>
      </c>
      <c r="N156" s="13"/>
    </row>
    <row r="157" ht="30" customHeight="1" spans="1:14">
      <c r="A157" s="32"/>
      <c r="B157" s="13"/>
      <c r="C157" s="6" t="s">
        <v>52</v>
      </c>
      <c r="D157" s="19">
        <v>3</v>
      </c>
      <c r="E157" s="19">
        <v>3</v>
      </c>
      <c r="F157" s="19">
        <v>3</v>
      </c>
      <c r="G157" s="21"/>
      <c r="H157" s="21"/>
      <c r="I157" s="21"/>
      <c r="J157" s="19">
        <f>D157*G155*10000/(1000*1000*1000)</f>
        <v>0.2455812</v>
      </c>
      <c r="K157" s="19">
        <f>E157*H155*10000/(1000*1000*1000)</f>
        <v>0.19943496</v>
      </c>
      <c r="L157" s="19">
        <f>F157*I155*10000/(1000*1000*1000)</f>
        <v>0.257095152</v>
      </c>
      <c r="M157" s="27">
        <f t="shared" si="20"/>
        <v>0.702111312</v>
      </c>
      <c r="N157" s="13"/>
    </row>
    <row r="158" ht="30" customHeight="1" spans="1:14">
      <c r="A158" s="32"/>
      <c r="B158" s="13"/>
      <c r="C158" s="6" t="s">
        <v>159</v>
      </c>
      <c r="D158" s="19">
        <v>0.129</v>
      </c>
      <c r="E158" s="19">
        <v>0.121</v>
      </c>
      <c r="F158" s="19">
        <v>0.00189</v>
      </c>
      <c r="G158" s="21"/>
      <c r="H158" s="21"/>
      <c r="I158" s="21"/>
      <c r="J158" s="28">
        <f>D158*G155*10000/(1000*1000*1000)</f>
        <v>0.0105599916</v>
      </c>
      <c r="K158" s="28">
        <f>E158*H155*10000/(1000*1000*1000)</f>
        <v>0.00804387672</v>
      </c>
      <c r="L158" s="28">
        <f>F158*I155*10000/(1000*1000*1000)</f>
        <v>0.00016196994576</v>
      </c>
      <c r="M158" s="27">
        <f t="shared" si="20"/>
        <v>0.01876583826576</v>
      </c>
      <c r="N158" s="13"/>
    </row>
    <row r="159" ht="30" customHeight="1" spans="1:14">
      <c r="A159" s="32"/>
      <c r="B159" s="13"/>
      <c r="C159" s="6" t="s">
        <v>147</v>
      </c>
      <c r="D159" s="19">
        <v>0.06</v>
      </c>
      <c r="E159" s="19">
        <v>0.1</v>
      </c>
      <c r="F159" s="19">
        <v>0.08</v>
      </c>
      <c r="G159" s="21"/>
      <c r="H159" s="21"/>
      <c r="I159" s="21"/>
      <c r="J159" s="28">
        <f>D159*G155*10000/(1000*1000*1000)</f>
        <v>0.004911624</v>
      </c>
      <c r="K159" s="28">
        <f>E159*H155*10000/(1000*1000*1000)</f>
        <v>0.006647832</v>
      </c>
      <c r="L159" s="28">
        <f>F159*I155*10000/(1000*1000*1000)</f>
        <v>0.00685587072</v>
      </c>
      <c r="M159" s="27">
        <f t="shared" si="20"/>
        <v>0.01841532672</v>
      </c>
      <c r="N159" s="13"/>
    </row>
    <row r="160" ht="30" customHeight="1" spans="1:14">
      <c r="A160" s="33"/>
      <c r="B160" s="23"/>
      <c r="C160" s="6" t="s">
        <v>33</v>
      </c>
      <c r="D160" s="19">
        <v>0.000469</v>
      </c>
      <c r="E160" s="19">
        <v>0.000407</v>
      </c>
      <c r="F160" s="19">
        <v>0.000588</v>
      </c>
      <c r="G160" s="24"/>
      <c r="H160" s="24"/>
      <c r="I160" s="24"/>
      <c r="J160" s="28">
        <f>D160*G155*10000/(1000*1000*1000)</f>
        <v>3.83925276e-5</v>
      </c>
      <c r="K160" s="28">
        <f>E160*H155*10000/(1000*1000*1000)</f>
        <v>2.705667624e-5</v>
      </c>
      <c r="L160" s="28">
        <f>F160*I155*10000/(1000*1000*1000)</f>
        <v>5.0390649792e-5</v>
      </c>
      <c r="M160" s="27">
        <f t="shared" si="20"/>
        <v>0.000115839853632</v>
      </c>
      <c r="N160" s="23"/>
    </row>
    <row r="161" ht="30" customHeight="1" spans="1:14">
      <c r="A161" s="34" t="s">
        <v>164</v>
      </c>
      <c r="B161" s="35"/>
      <c r="C161" s="35"/>
      <c r="D161" s="35"/>
      <c r="E161" s="35"/>
      <c r="F161" s="35"/>
      <c r="G161" s="36"/>
      <c r="H161" s="36"/>
      <c r="I161" s="36"/>
      <c r="J161" s="35"/>
      <c r="K161" s="35"/>
      <c r="L161" s="35"/>
      <c r="M161" s="35"/>
      <c r="N161" s="47"/>
    </row>
    <row r="162" ht="30" customHeight="1" spans="1:14">
      <c r="A162" s="6" t="s">
        <v>2</v>
      </c>
      <c r="B162" s="31" t="s">
        <v>3</v>
      </c>
      <c r="C162" s="31" t="s">
        <v>4</v>
      </c>
      <c r="D162" s="37" t="s">
        <v>165</v>
      </c>
      <c r="E162" s="38"/>
      <c r="F162" s="39"/>
      <c r="G162" s="37" t="s">
        <v>166</v>
      </c>
      <c r="H162" s="38"/>
      <c r="I162" s="39"/>
      <c r="J162" s="37" t="s">
        <v>7</v>
      </c>
      <c r="K162" s="38"/>
      <c r="L162" s="38"/>
      <c r="M162" s="39"/>
      <c r="N162" s="19" t="s">
        <v>8</v>
      </c>
    </row>
    <row r="163" ht="30" customHeight="1" spans="1:14">
      <c r="A163" s="6"/>
      <c r="B163" s="33"/>
      <c r="C163" s="33"/>
      <c r="D163" s="6" t="s">
        <v>9</v>
      </c>
      <c r="E163" s="6" t="s">
        <v>10</v>
      </c>
      <c r="F163" s="6" t="s">
        <v>11</v>
      </c>
      <c r="G163" s="6" t="s">
        <v>9</v>
      </c>
      <c r="H163" s="6" t="s">
        <v>10</v>
      </c>
      <c r="I163" s="6" t="s">
        <v>11</v>
      </c>
      <c r="J163" s="6" t="s">
        <v>9</v>
      </c>
      <c r="K163" s="6" t="s">
        <v>10</v>
      </c>
      <c r="L163" s="6" t="s">
        <v>11</v>
      </c>
      <c r="M163" s="19" t="s">
        <v>12</v>
      </c>
      <c r="N163" s="19"/>
    </row>
    <row r="164" ht="30" customHeight="1" spans="1:14">
      <c r="A164" s="19" t="s">
        <v>167</v>
      </c>
      <c r="B164" s="19" t="s">
        <v>168</v>
      </c>
      <c r="C164" s="37" t="s">
        <v>169</v>
      </c>
      <c r="D164" s="11">
        <v>0.0111</v>
      </c>
      <c r="E164" s="11">
        <v>0.0125</v>
      </c>
      <c r="F164" s="11">
        <v>0.0125</v>
      </c>
      <c r="G164" s="40">
        <v>87696.43</v>
      </c>
      <c r="H164" s="40">
        <v>99532.38</v>
      </c>
      <c r="I164" s="40">
        <v>101316.419</v>
      </c>
      <c r="J164" s="27">
        <f>D164*G164*1000/(1000*1000*1000)</f>
        <v>0.000973430373</v>
      </c>
      <c r="K164" s="27">
        <f>E164*H164*1000/(1000*1000*1000)</f>
        <v>0.00124415475</v>
      </c>
      <c r="L164" s="27">
        <f>F164*I164*1000/(1000*1000*1000)</f>
        <v>0.0012664552375</v>
      </c>
      <c r="M164" s="27">
        <f t="shared" ref="M164:M180" si="21">SUM(J164:L164)</f>
        <v>0.0034840403605</v>
      </c>
      <c r="N164" s="6" t="s">
        <v>170</v>
      </c>
    </row>
    <row r="165" ht="30" customHeight="1" spans="1:14">
      <c r="A165" s="19"/>
      <c r="B165" s="19"/>
      <c r="C165" s="37" t="s">
        <v>171</v>
      </c>
      <c r="D165" s="11">
        <v>0.05</v>
      </c>
      <c r="E165" s="11">
        <v>0.05</v>
      </c>
      <c r="F165" s="11">
        <v>0.05</v>
      </c>
      <c r="G165" s="41"/>
      <c r="H165" s="41"/>
      <c r="I165" s="41"/>
      <c r="J165" s="27">
        <f>D165*G164*1000/(1000*1000*1000)</f>
        <v>0.0043848215</v>
      </c>
      <c r="K165" s="27">
        <f>E165*H164*1000/(1000*1000*1000)</f>
        <v>0.004976619</v>
      </c>
      <c r="L165" s="27">
        <f>F165*I164*1000/(1000*1000*1000)</f>
        <v>0.00506582095</v>
      </c>
      <c r="M165" s="27">
        <f t="shared" si="21"/>
        <v>0.01442726145</v>
      </c>
      <c r="N165" s="6"/>
    </row>
    <row r="166" ht="30" customHeight="1" spans="1:14">
      <c r="A166" s="19"/>
      <c r="B166" s="19"/>
      <c r="C166" s="37" t="s">
        <v>172</v>
      </c>
      <c r="D166" s="11">
        <v>0.00055</v>
      </c>
      <c r="E166" s="11">
        <v>0.00082</v>
      </c>
      <c r="F166" s="11">
        <v>0.00174</v>
      </c>
      <c r="G166" s="41"/>
      <c r="H166" s="41"/>
      <c r="I166" s="41"/>
      <c r="J166" s="27">
        <f>D166*G164*1000/(1000*1000*1000)</f>
        <v>4.82330365e-5</v>
      </c>
      <c r="K166" s="27">
        <f>E166*H164*1000/(1000*1000*1000)</f>
        <v>8.16165516e-5</v>
      </c>
      <c r="L166" s="27">
        <f>F166*I164*1000/(1000*1000*1000)</f>
        <v>0.00017629056906</v>
      </c>
      <c r="M166" s="27">
        <f t="shared" si="21"/>
        <v>0.00030614015716</v>
      </c>
      <c r="N166" s="6"/>
    </row>
    <row r="167" ht="30" customHeight="1" spans="1:14">
      <c r="A167" s="19"/>
      <c r="B167" s="19"/>
      <c r="C167" s="42" t="s">
        <v>173</v>
      </c>
      <c r="D167" s="11">
        <v>0.0666</v>
      </c>
      <c r="E167" s="11">
        <v>0.0232</v>
      </c>
      <c r="F167" s="11">
        <v>0.0341</v>
      </c>
      <c r="G167" s="41"/>
      <c r="H167" s="41"/>
      <c r="I167" s="41"/>
      <c r="J167" s="27">
        <f>D167*G164*1000/(1000*1000*1000)</f>
        <v>0.005840582238</v>
      </c>
      <c r="K167" s="27">
        <f>E167*H164*1000/(1000*1000*1000)</f>
        <v>0.002309151216</v>
      </c>
      <c r="L167" s="27">
        <f>F167*I164*1000/(1000*1000*1000)</f>
        <v>0.0034548898879</v>
      </c>
      <c r="M167" s="27">
        <f t="shared" si="21"/>
        <v>0.0116046233419</v>
      </c>
      <c r="N167" s="6"/>
    </row>
    <row r="168" ht="30" customHeight="1" spans="1:14">
      <c r="A168" s="19"/>
      <c r="B168" s="19"/>
      <c r="C168" s="37" t="s">
        <v>174</v>
      </c>
      <c r="D168" s="11">
        <v>0.0036</v>
      </c>
      <c r="E168" s="11">
        <v>0.0035</v>
      </c>
      <c r="F168" s="29">
        <v>0.00371290322580645</v>
      </c>
      <c r="G168" s="41"/>
      <c r="H168" s="41"/>
      <c r="I168" s="41"/>
      <c r="J168" s="27">
        <f>D168*G164*1000/(1000*1000*1000)</f>
        <v>0.000315707148</v>
      </c>
      <c r="K168" s="27">
        <f>E168*H164*1000/(1000*1000*1000)</f>
        <v>0.00034836333</v>
      </c>
      <c r="L168" s="27">
        <f>F168*I164*1000/(1000*1000*1000)</f>
        <v>0.000376178058932258</v>
      </c>
      <c r="M168" s="27">
        <f t="shared" si="21"/>
        <v>0.00104024853693226</v>
      </c>
      <c r="N168" s="6"/>
    </row>
    <row r="169" ht="30" customHeight="1" spans="1:14">
      <c r="A169" s="19"/>
      <c r="B169" s="19"/>
      <c r="C169" s="7" t="s">
        <v>175</v>
      </c>
      <c r="D169" s="11">
        <v>21.86</v>
      </c>
      <c r="E169" s="11">
        <v>23.18</v>
      </c>
      <c r="F169" s="11">
        <v>24.25</v>
      </c>
      <c r="G169" s="41"/>
      <c r="H169" s="41"/>
      <c r="I169" s="41"/>
      <c r="J169" s="27">
        <f>D169*G164*1000/(1000*1000*1000)</f>
        <v>1.9170439598</v>
      </c>
      <c r="K169" s="27">
        <f>E169*H164*1000/(1000*1000*1000)</f>
        <v>2.3071605684</v>
      </c>
      <c r="L169" s="27">
        <f>F169*I164*1000/(1000*1000*1000)</f>
        <v>2.45692316075</v>
      </c>
      <c r="M169" s="27">
        <f t="shared" si="21"/>
        <v>6.68112768895</v>
      </c>
      <c r="N169" s="6"/>
    </row>
    <row r="170" ht="19" customHeight="1" spans="1:14">
      <c r="A170" s="19"/>
      <c r="B170" s="19"/>
      <c r="C170" s="37" t="s">
        <v>176</v>
      </c>
      <c r="D170" s="11">
        <v>0.7235</v>
      </c>
      <c r="E170" s="11">
        <v>0.9564</v>
      </c>
      <c r="F170" s="11">
        <v>1.0333</v>
      </c>
      <c r="G170" s="41"/>
      <c r="H170" s="41"/>
      <c r="I170" s="41"/>
      <c r="J170" s="27">
        <f>D170*G164*1000/(1000*1000*1000)</f>
        <v>0.063448367105</v>
      </c>
      <c r="K170" s="27">
        <f>E170*H164*1000/(1000*1000*1000)</f>
        <v>0.095192768232</v>
      </c>
      <c r="L170" s="27">
        <f>F170*I164*1000/(1000*1000*1000)</f>
        <v>0.1046902557527</v>
      </c>
      <c r="M170" s="27">
        <f t="shared" si="21"/>
        <v>0.2633313910897</v>
      </c>
      <c r="N170" s="6"/>
    </row>
    <row r="171" ht="21" customHeight="1" spans="1:14">
      <c r="A171" s="19"/>
      <c r="B171" s="19"/>
      <c r="C171" s="37" t="s">
        <v>177</v>
      </c>
      <c r="D171" s="11">
        <v>0.05</v>
      </c>
      <c r="E171" s="11">
        <v>0.0125</v>
      </c>
      <c r="F171" s="11">
        <v>0.0301</v>
      </c>
      <c r="G171" s="41"/>
      <c r="H171" s="41"/>
      <c r="I171" s="41"/>
      <c r="J171" s="27">
        <f>D171*G164*1000/(1000*1000*1000)</f>
        <v>0.0043848215</v>
      </c>
      <c r="K171" s="27">
        <f>E171*H164*1000/(1000*1000*1000)</f>
        <v>0.00124415475</v>
      </c>
      <c r="L171" s="27">
        <f>F171*I164*1000/(1000*1000*1000)</f>
        <v>0.0030496242119</v>
      </c>
      <c r="M171" s="27">
        <f t="shared" si="21"/>
        <v>0.0086786004619</v>
      </c>
      <c r="N171" s="6"/>
    </row>
    <row r="172" ht="30" customHeight="1" spans="1:14">
      <c r="A172" s="19"/>
      <c r="B172" s="19"/>
      <c r="C172" s="7" t="s">
        <v>178</v>
      </c>
      <c r="D172" s="11">
        <v>0.324</v>
      </c>
      <c r="E172" s="11">
        <v>0.324</v>
      </c>
      <c r="F172" s="11">
        <v>0.324</v>
      </c>
      <c r="G172" s="41"/>
      <c r="H172" s="41"/>
      <c r="I172" s="41"/>
      <c r="J172" s="27">
        <f>D172*G164*1000/(1000*1000*1000)</f>
        <v>0.02841364332</v>
      </c>
      <c r="K172" s="27">
        <f>E172*H164*1000/(1000*1000*1000)</f>
        <v>0.03224849112</v>
      </c>
      <c r="L172" s="27">
        <f>F172*I164*1000/(1000*1000*1000)</f>
        <v>0.032826519756</v>
      </c>
      <c r="M172" s="27">
        <f t="shared" si="21"/>
        <v>0.093488654196</v>
      </c>
      <c r="N172" s="6"/>
    </row>
    <row r="173" ht="30" customHeight="1" spans="1:14">
      <c r="A173" s="19"/>
      <c r="B173" s="19"/>
      <c r="C173" s="7" t="s">
        <v>179</v>
      </c>
      <c r="D173" s="11">
        <v>7.4448</v>
      </c>
      <c r="E173" s="11">
        <v>10.262</v>
      </c>
      <c r="F173" s="29">
        <v>9.31870967741935</v>
      </c>
      <c r="G173" s="41"/>
      <c r="H173" s="41"/>
      <c r="I173" s="41"/>
      <c r="J173" s="27">
        <f>D173*G164*1000/(1000*1000*1000)</f>
        <v>0.652882382064</v>
      </c>
      <c r="K173" s="27">
        <f>E173*H164*1000/(1000*1000*1000)</f>
        <v>1.02140128356</v>
      </c>
      <c r="L173" s="27">
        <f>F173*I164*1000/(1000*1000*1000)</f>
        <v>0.944138294216774</v>
      </c>
      <c r="M173" s="27">
        <f t="shared" si="21"/>
        <v>2.61842195984077</v>
      </c>
      <c r="N173" s="6"/>
    </row>
    <row r="174" ht="30" customHeight="1" spans="1:14">
      <c r="A174" s="19"/>
      <c r="B174" s="19"/>
      <c r="C174" s="7" t="s">
        <v>180</v>
      </c>
      <c r="D174" s="11">
        <v>0.0002</v>
      </c>
      <c r="E174" s="11">
        <v>0.0002</v>
      </c>
      <c r="F174" s="11">
        <v>0.0002</v>
      </c>
      <c r="G174" s="41"/>
      <c r="H174" s="41"/>
      <c r="I174" s="41"/>
      <c r="J174" s="27">
        <f>D174*G164*1000/(1000*1000*1000)</f>
        <v>1.7539286e-5</v>
      </c>
      <c r="K174" s="27">
        <f>E174*H164*1000/(1000*1000*1000)</f>
        <v>1.9906476e-5</v>
      </c>
      <c r="L174" s="27">
        <f>F174*I164*1000/(1000*1000*1000)</f>
        <v>2.02632838e-5</v>
      </c>
      <c r="M174" s="27">
        <f t="shared" si="21"/>
        <v>5.77090458e-5</v>
      </c>
      <c r="N174" s="6"/>
    </row>
    <row r="175" ht="30" customHeight="1" spans="1:14">
      <c r="A175" s="19"/>
      <c r="B175" s="19"/>
      <c r="C175" s="7" t="s">
        <v>181</v>
      </c>
      <c r="D175" s="11">
        <v>0.004</v>
      </c>
      <c r="E175" s="11">
        <v>0.019</v>
      </c>
      <c r="F175" s="11">
        <v>0.008</v>
      </c>
      <c r="G175" s="41"/>
      <c r="H175" s="41"/>
      <c r="I175" s="41"/>
      <c r="J175" s="27">
        <f>D175*G164*1000/(1000*1000*1000)</f>
        <v>0.00035078572</v>
      </c>
      <c r="K175" s="27">
        <f>E175*H164*1000/(1000*1000*1000)</f>
        <v>0.00189111522</v>
      </c>
      <c r="L175" s="27">
        <f>F175*I164*1000/(1000*1000*1000)</f>
        <v>0.000810531352</v>
      </c>
      <c r="M175" s="27">
        <f t="shared" si="21"/>
        <v>0.003052432292</v>
      </c>
      <c r="N175" s="6"/>
    </row>
    <row r="176" ht="30" customHeight="1" spans="1:14">
      <c r="A176" s="19"/>
      <c r="B176" s="19"/>
      <c r="C176" s="7" t="s">
        <v>182</v>
      </c>
      <c r="D176" s="11">
        <v>0.05</v>
      </c>
      <c r="E176" s="11">
        <v>0.0125</v>
      </c>
      <c r="F176" s="11">
        <v>0.0125</v>
      </c>
      <c r="G176" s="41"/>
      <c r="H176" s="41"/>
      <c r="I176" s="41"/>
      <c r="J176" s="27">
        <f>D176*G164*1000/(1000*1000*1000)</f>
        <v>0.0043848215</v>
      </c>
      <c r="K176" s="27">
        <f>E176*H164*1000/(1000*1000*1000)</f>
        <v>0.00124415475</v>
      </c>
      <c r="L176" s="27">
        <f>F176*I164*1000/(1000*1000*1000)</f>
        <v>0.0012664552375</v>
      </c>
      <c r="M176" s="27">
        <f t="shared" si="21"/>
        <v>0.0068954314875</v>
      </c>
      <c r="N176" s="6"/>
    </row>
    <row r="177" ht="30" customHeight="1" spans="1:14">
      <c r="A177" s="19"/>
      <c r="B177" s="19"/>
      <c r="C177" s="7" t="s">
        <v>183</v>
      </c>
      <c r="D177" s="11">
        <v>14</v>
      </c>
      <c r="E177" s="11">
        <v>14</v>
      </c>
      <c r="F177" s="11">
        <v>14</v>
      </c>
      <c r="G177" s="41"/>
      <c r="H177" s="41"/>
      <c r="I177" s="41"/>
      <c r="J177" s="27">
        <f>D177*G164*1000/(1000*1000*1000)</f>
        <v>1.22775002</v>
      </c>
      <c r="K177" s="27">
        <f>E177*H164*1000/(1000*1000*1000)</f>
        <v>1.39345332</v>
      </c>
      <c r="L177" s="27">
        <f>F177*I164*1000/(1000*1000*1000)</f>
        <v>1.418429866</v>
      </c>
      <c r="M177" s="27">
        <f t="shared" si="21"/>
        <v>4.039633206</v>
      </c>
      <c r="N177" s="6"/>
    </row>
    <row r="178" ht="30" customHeight="1" spans="1:14">
      <c r="A178" s="19"/>
      <c r="B178" s="19"/>
      <c r="C178" s="7" t="s">
        <v>184</v>
      </c>
      <c r="D178" s="11">
        <v>0.01</v>
      </c>
      <c r="E178" s="11">
        <v>0.01</v>
      </c>
      <c r="F178" s="11">
        <v>0.01</v>
      </c>
      <c r="G178" s="41"/>
      <c r="H178" s="41"/>
      <c r="I178" s="41"/>
      <c r="J178" s="27">
        <f>D178*G164*1000/(1000*1000*1000)</f>
        <v>0.0008769643</v>
      </c>
      <c r="K178" s="27">
        <f>E178*H164*1000/(1000*1000*1000)</f>
        <v>0.0009953238</v>
      </c>
      <c r="L178" s="27">
        <f>F178*I164*1000/(1000*1000*1000)</f>
        <v>0.00101316419</v>
      </c>
      <c r="M178" s="27">
        <f t="shared" si="21"/>
        <v>0.00288545229</v>
      </c>
      <c r="N178" s="6"/>
    </row>
    <row r="179" ht="30" customHeight="1" spans="1:14">
      <c r="A179" s="19"/>
      <c r="B179" s="19"/>
      <c r="C179" s="7" t="s">
        <v>185</v>
      </c>
      <c r="D179" s="11">
        <v>0.5887</v>
      </c>
      <c r="E179" s="11">
        <v>0.6233</v>
      </c>
      <c r="F179" s="29">
        <v>0.615483870967742</v>
      </c>
      <c r="G179" s="43"/>
      <c r="H179" s="43"/>
      <c r="I179" s="43"/>
      <c r="J179" s="27">
        <f>D179*G164*1000/(1000*1000*1000)</f>
        <v>0.051626888341</v>
      </c>
      <c r="K179" s="27">
        <f>E179*H164*1000/(1000*1000*1000)</f>
        <v>0.062038532454</v>
      </c>
      <c r="L179" s="27">
        <f>F179*I164*1000/(1000*1000*1000)</f>
        <v>0.0623586217587097</v>
      </c>
      <c r="M179" s="27">
        <f t="shared" si="21"/>
        <v>0.17602404255371</v>
      </c>
      <c r="N179" s="6"/>
    </row>
    <row r="180" ht="20" customHeight="1" spans="1:14">
      <c r="A180" s="40" t="s">
        <v>186</v>
      </c>
      <c r="B180" s="40" t="s">
        <v>187</v>
      </c>
      <c r="C180" s="44" t="s">
        <v>172</v>
      </c>
      <c r="D180" s="45">
        <v>0.00275</v>
      </c>
      <c r="E180" s="45">
        <v>0.0053</v>
      </c>
      <c r="F180" s="45">
        <v>0.00546870967741936</v>
      </c>
      <c r="G180" s="40">
        <v>21313.4</v>
      </c>
      <c r="H180" s="40">
        <v>20124.2</v>
      </c>
      <c r="I180" s="40">
        <v>21069.1</v>
      </c>
      <c r="J180" s="27">
        <f>D180*G180*1000/(1000*1000*1000)</f>
        <v>5.861185e-5</v>
      </c>
      <c r="K180" s="27">
        <f>E180*H180*1000/(1000*1000*1000)</f>
        <v>0.00010665826</v>
      </c>
      <c r="L180" s="27">
        <f>F180*I180*1000/(1000*1000*1000)</f>
        <v>0.000115220791064516</v>
      </c>
      <c r="M180" s="27">
        <f t="shared" si="21"/>
        <v>0.000280490901064516</v>
      </c>
      <c r="N180" s="48" t="s">
        <v>188</v>
      </c>
    </row>
    <row r="181" ht="20" customHeight="1" spans="1:14">
      <c r="A181" s="41"/>
      <c r="B181" s="41"/>
      <c r="C181" s="44" t="s">
        <v>169</v>
      </c>
      <c r="D181" s="45">
        <v>0.01135</v>
      </c>
      <c r="E181" s="45">
        <v>0.0125</v>
      </c>
      <c r="F181" s="45">
        <v>0.0125</v>
      </c>
      <c r="G181" s="41"/>
      <c r="H181" s="41"/>
      <c r="I181" s="41"/>
      <c r="J181" s="27">
        <f>D181*G180*1000/(1000*1000*1000)</f>
        <v>0.00024190709</v>
      </c>
      <c r="K181" s="27">
        <f>E181*H180*1000/(1000*1000*1000)</f>
        <v>0.0002515525</v>
      </c>
      <c r="L181" s="27">
        <f>F181*I180*1000/(1000*1000*1000)</f>
        <v>0.00026336375</v>
      </c>
      <c r="M181" s="27">
        <f t="shared" ref="M181:M186" si="22">SUM(J181:L181)</f>
        <v>0.00075682334</v>
      </c>
      <c r="N181" s="49"/>
    </row>
    <row r="182" ht="20" customHeight="1" spans="1:14">
      <c r="A182" s="41"/>
      <c r="B182" s="41"/>
      <c r="C182" s="44" t="s">
        <v>174</v>
      </c>
      <c r="D182" s="45">
        <v>0.00367</v>
      </c>
      <c r="E182" s="45">
        <v>0.0071</v>
      </c>
      <c r="F182" s="45">
        <v>0.0101870967741936</v>
      </c>
      <c r="G182" s="41"/>
      <c r="H182" s="41"/>
      <c r="I182" s="41"/>
      <c r="J182" s="27">
        <f>D182*G180*1000/(1000*1000*1000)</f>
        <v>7.8220178e-5</v>
      </c>
      <c r="K182" s="27">
        <f>E182*H180*1000/(1000*1000*1000)</f>
        <v>0.00014288182</v>
      </c>
      <c r="L182" s="27">
        <f>F182*I180*1000/(1000*1000*1000)</f>
        <v>0.000214632960645161</v>
      </c>
      <c r="M182" s="27">
        <f t="shared" si="22"/>
        <v>0.000435734958645161</v>
      </c>
      <c r="N182" s="49"/>
    </row>
    <row r="183" ht="20" customHeight="1" spans="1:14">
      <c r="A183" s="41"/>
      <c r="B183" s="41"/>
      <c r="C183" s="44" t="s">
        <v>173</v>
      </c>
      <c r="D183" s="45">
        <v>0.07435</v>
      </c>
      <c r="E183" s="45">
        <v>0.06</v>
      </c>
      <c r="F183" s="45">
        <v>0.05</v>
      </c>
      <c r="G183" s="41"/>
      <c r="H183" s="41"/>
      <c r="I183" s="41"/>
      <c r="J183" s="27">
        <f>D183*G180*1000/(1000*1000*1000)</f>
        <v>0.00158465129</v>
      </c>
      <c r="K183" s="27">
        <f>E183*H180*1000/(1000*1000*1000)</f>
        <v>0.001207452</v>
      </c>
      <c r="L183" s="27">
        <f>F183*I180*1000/(1000*1000*1000)</f>
        <v>0.001053455</v>
      </c>
      <c r="M183" s="27">
        <f t="shared" si="22"/>
        <v>0.00384555829</v>
      </c>
      <c r="N183" s="49"/>
    </row>
    <row r="184" ht="20" customHeight="1" spans="1:14">
      <c r="A184" s="41"/>
      <c r="B184" s="41"/>
      <c r="C184" s="44" t="s">
        <v>181</v>
      </c>
      <c r="D184" s="11">
        <v>0.004</v>
      </c>
      <c r="E184" s="11">
        <v>0.018</v>
      </c>
      <c r="F184" s="11">
        <v>0.01</v>
      </c>
      <c r="G184" s="41"/>
      <c r="H184" s="41"/>
      <c r="I184" s="41"/>
      <c r="J184" s="27">
        <f>D184*G180*1000/(1000*1000*1000)</f>
        <v>8.52536e-5</v>
      </c>
      <c r="K184" s="27">
        <f>E184*H180*1000/(1000*1000*1000)</f>
        <v>0.0003622356</v>
      </c>
      <c r="L184" s="27">
        <f>F184*I180*1000/(1000*1000*1000)</f>
        <v>0.000210691</v>
      </c>
      <c r="M184" s="27">
        <f t="shared" si="22"/>
        <v>0.0006581802</v>
      </c>
      <c r="N184" s="49"/>
    </row>
    <row r="185" ht="20" customHeight="1" spans="1:14">
      <c r="A185" s="41"/>
      <c r="B185" s="41"/>
      <c r="C185" s="44" t="s">
        <v>171</v>
      </c>
      <c r="D185" s="11">
        <v>0.08</v>
      </c>
      <c r="E185" s="11">
        <v>0.05</v>
      </c>
      <c r="F185" s="11">
        <v>0.05</v>
      </c>
      <c r="G185" s="41"/>
      <c r="H185" s="41"/>
      <c r="I185" s="41"/>
      <c r="J185" s="27">
        <f>D185*G180*1000/(1000*1000*1000)</f>
        <v>0.001705072</v>
      </c>
      <c r="K185" s="27">
        <f>E185*H180*1000/(1000*1000*1000)</f>
        <v>0.00100621</v>
      </c>
      <c r="L185" s="27">
        <f>F185*I180*1000/(1000*1000*1000)</f>
        <v>0.001053455</v>
      </c>
      <c r="M185" s="27">
        <f t="shared" si="22"/>
        <v>0.003764737</v>
      </c>
      <c r="N185" s="49"/>
    </row>
    <row r="186" ht="20" customHeight="1" spans="1:14">
      <c r="A186" s="43"/>
      <c r="B186" s="43"/>
      <c r="C186" s="44" t="s">
        <v>180</v>
      </c>
      <c r="D186" s="11">
        <v>0.00011</v>
      </c>
      <c r="E186" s="11">
        <v>0.00011</v>
      </c>
      <c r="F186" s="11">
        <v>0.00011</v>
      </c>
      <c r="G186" s="43"/>
      <c r="H186" s="43"/>
      <c r="I186" s="43"/>
      <c r="J186" s="27">
        <f>D186*G180*1000/(1000*1000*1000)</f>
        <v>2.344474e-6</v>
      </c>
      <c r="K186" s="27">
        <f>E186*H180*1000/(1000*1000*1000)</f>
        <v>2.213662e-6</v>
      </c>
      <c r="L186" s="27">
        <f>F186*I180*1000/(1000*1000*1000)</f>
        <v>2.317601e-6</v>
      </c>
      <c r="M186" s="27">
        <f t="shared" si="22"/>
        <v>6.875737e-6</v>
      </c>
      <c r="N186" s="50"/>
    </row>
    <row r="187" ht="20" customHeight="1" spans="1:14">
      <c r="A187" s="11" t="s">
        <v>189</v>
      </c>
      <c r="B187" s="11" t="s">
        <v>187</v>
      </c>
      <c r="C187" s="44" t="s">
        <v>172</v>
      </c>
      <c r="D187" s="46"/>
      <c r="E187" s="46"/>
      <c r="F187" s="46"/>
      <c r="G187" s="40"/>
      <c r="H187" s="40"/>
      <c r="I187" s="40"/>
      <c r="J187" s="27">
        <f>D187*G187*1000/(1000*1000*1000)</f>
        <v>0</v>
      </c>
      <c r="K187" s="27">
        <f>E187*H187*1000/(1000*1000*1000)</f>
        <v>0</v>
      </c>
      <c r="L187" s="27">
        <f>F187*I187*1000/(1000*1000*1000)</f>
        <v>0</v>
      </c>
      <c r="M187" s="27">
        <f t="shared" ref="M187:M193" si="23">SUM(J187:L187)</f>
        <v>0</v>
      </c>
      <c r="N187" s="48" t="s">
        <v>190</v>
      </c>
    </row>
    <row r="188" ht="20" customHeight="1" spans="1:14">
      <c r="A188" s="11"/>
      <c r="B188" s="11"/>
      <c r="C188" s="44" t="s">
        <v>169</v>
      </c>
      <c r="D188" s="46"/>
      <c r="E188" s="46"/>
      <c r="F188" s="46"/>
      <c r="G188" s="41"/>
      <c r="H188" s="41"/>
      <c r="I188" s="41"/>
      <c r="J188" s="27">
        <f>D188*G187*1000/(1000*1000*1000)</f>
        <v>0</v>
      </c>
      <c r="K188" s="27">
        <f>E188*H187*1000/(1000*1000*1000)</f>
        <v>0</v>
      </c>
      <c r="L188" s="27">
        <f>F188*I187*1000/(1000*1000*1000)</f>
        <v>0</v>
      </c>
      <c r="M188" s="27">
        <f t="shared" si="23"/>
        <v>0</v>
      </c>
      <c r="N188" s="49"/>
    </row>
    <row r="189" ht="20" customHeight="1" spans="1:14">
      <c r="A189" s="11"/>
      <c r="B189" s="11"/>
      <c r="C189" s="44" t="s">
        <v>174</v>
      </c>
      <c r="D189" s="46"/>
      <c r="E189" s="46"/>
      <c r="F189" s="46"/>
      <c r="G189" s="41"/>
      <c r="H189" s="41"/>
      <c r="I189" s="41"/>
      <c r="J189" s="27">
        <f>D189*G187*1000/(1000*1000*1000)</f>
        <v>0</v>
      </c>
      <c r="K189" s="27">
        <f>E189*H187*1000/(1000*1000*1000)</f>
        <v>0</v>
      </c>
      <c r="L189" s="27">
        <f>F189*I187*1000/(1000*1000*1000)</f>
        <v>0</v>
      </c>
      <c r="M189" s="27">
        <f t="shared" si="23"/>
        <v>0</v>
      </c>
      <c r="N189" s="49"/>
    </row>
    <row r="190" ht="20" customHeight="1" spans="1:14">
      <c r="A190" s="11"/>
      <c r="B190" s="11"/>
      <c r="C190" s="44" t="s">
        <v>173</v>
      </c>
      <c r="D190" s="46"/>
      <c r="E190" s="46"/>
      <c r="F190" s="46"/>
      <c r="G190" s="41"/>
      <c r="H190" s="41"/>
      <c r="I190" s="41"/>
      <c r="J190" s="27">
        <f>D190*G187*1000/(1000*1000*1000)</f>
        <v>0</v>
      </c>
      <c r="K190" s="27">
        <f>E190*H187*1000/(1000*1000*1000)</f>
        <v>0</v>
      </c>
      <c r="L190" s="27">
        <f>F190*I187*1000/(1000*1000*1000)</f>
        <v>0</v>
      </c>
      <c r="M190" s="27">
        <f t="shared" si="23"/>
        <v>0</v>
      </c>
      <c r="N190" s="49"/>
    </row>
    <row r="191" ht="20" customHeight="1" spans="1:14">
      <c r="A191" s="11"/>
      <c r="B191" s="11"/>
      <c r="C191" s="44" t="s">
        <v>181</v>
      </c>
      <c r="D191" s="46"/>
      <c r="E191" s="46"/>
      <c r="F191" s="46"/>
      <c r="G191" s="41"/>
      <c r="H191" s="41"/>
      <c r="I191" s="41"/>
      <c r="J191" s="27">
        <f>D191*G187*1000/(1000*1000*1000)</f>
        <v>0</v>
      </c>
      <c r="K191" s="27">
        <f>E191*H187*1000/(1000*1000*1000)</f>
        <v>0</v>
      </c>
      <c r="L191" s="27">
        <f>F191*I187*1000/(1000*1000*1000)</f>
        <v>0</v>
      </c>
      <c r="M191" s="27">
        <f t="shared" si="23"/>
        <v>0</v>
      </c>
      <c r="N191" s="49"/>
    </row>
    <row r="192" ht="20" customHeight="1" spans="1:14">
      <c r="A192" s="11"/>
      <c r="B192" s="11"/>
      <c r="C192" s="44" t="s">
        <v>171</v>
      </c>
      <c r="D192" s="46"/>
      <c r="E192" s="46"/>
      <c r="F192" s="46"/>
      <c r="G192" s="41"/>
      <c r="H192" s="41"/>
      <c r="I192" s="41"/>
      <c r="J192" s="27">
        <f>D192*G187*1000/(1000*1000*1000)</f>
        <v>0</v>
      </c>
      <c r="K192" s="27">
        <f>E192*H187*1000/(1000*1000*1000)</f>
        <v>0</v>
      </c>
      <c r="L192" s="27">
        <f>F192*I187*1000/(1000*1000*1000)</f>
        <v>0</v>
      </c>
      <c r="M192" s="27">
        <f t="shared" si="23"/>
        <v>0</v>
      </c>
      <c r="N192" s="49"/>
    </row>
    <row r="193" ht="20" customHeight="1" spans="1:14">
      <c r="A193" s="11"/>
      <c r="B193" s="11"/>
      <c r="C193" s="44" t="s">
        <v>180</v>
      </c>
      <c r="D193" s="46"/>
      <c r="E193" s="46"/>
      <c r="F193" s="46"/>
      <c r="G193" s="43"/>
      <c r="H193" s="43"/>
      <c r="I193" s="43"/>
      <c r="J193" s="27">
        <f>D193*G187*1000/(1000*1000*1000)</f>
        <v>0</v>
      </c>
      <c r="K193" s="27">
        <f>E193*H187*1000/(1000*1000*1000)</f>
        <v>0</v>
      </c>
      <c r="L193" s="27">
        <f>F193*I187*1000/(1000*1000*1000)</f>
        <v>0</v>
      </c>
      <c r="M193" s="27">
        <f t="shared" si="23"/>
        <v>0</v>
      </c>
      <c r="N193" s="50"/>
    </row>
  </sheetData>
  <autoFilter xmlns:etc="http://www.wps.cn/officeDocument/2017/etCustomData" ref="A1:N193" etc:filterBottomFollowUsedRange="0">
    <extLst/>
  </autoFilter>
  <mergeCells count="181">
    <mergeCell ref="A1:N1"/>
    <mergeCell ref="A2:N2"/>
    <mergeCell ref="D3:F3"/>
    <mergeCell ref="G3:I3"/>
    <mergeCell ref="J3:M3"/>
    <mergeCell ref="A161:N161"/>
    <mergeCell ref="D162:F162"/>
    <mergeCell ref="G162:I162"/>
    <mergeCell ref="J162:M162"/>
    <mergeCell ref="A3:A4"/>
    <mergeCell ref="A5:A8"/>
    <mergeCell ref="A9:A13"/>
    <mergeCell ref="A14:A18"/>
    <mergeCell ref="A19:A20"/>
    <mergeCell ref="A21:A24"/>
    <mergeCell ref="A25:A29"/>
    <mergeCell ref="A30:A33"/>
    <mergeCell ref="A35:A36"/>
    <mergeCell ref="A37:A40"/>
    <mergeCell ref="A41:A45"/>
    <mergeCell ref="A46:A49"/>
    <mergeCell ref="A50:A53"/>
    <mergeCell ref="A54:A58"/>
    <mergeCell ref="A60:A63"/>
    <mergeCell ref="A64:A65"/>
    <mergeCell ref="A66:A68"/>
    <mergeCell ref="A69:A75"/>
    <mergeCell ref="A76:A81"/>
    <mergeCell ref="A125:A131"/>
    <mergeCell ref="A132:A135"/>
    <mergeCell ref="A136:A142"/>
    <mergeCell ref="A144:A150"/>
    <mergeCell ref="A151:A154"/>
    <mergeCell ref="A155:A160"/>
    <mergeCell ref="A162:A163"/>
    <mergeCell ref="A164:A179"/>
    <mergeCell ref="A180:A186"/>
    <mergeCell ref="A187:A193"/>
    <mergeCell ref="B3:B4"/>
    <mergeCell ref="B5:B8"/>
    <mergeCell ref="B9:B13"/>
    <mergeCell ref="B14:B18"/>
    <mergeCell ref="B19:B20"/>
    <mergeCell ref="B21:B24"/>
    <mergeCell ref="B25:B29"/>
    <mergeCell ref="B30:B33"/>
    <mergeCell ref="B35:B36"/>
    <mergeCell ref="B37:B40"/>
    <mergeCell ref="B41:B45"/>
    <mergeCell ref="B46:B49"/>
    <mergeCell ref="B50:B53"/>
    <mergeCell ref="B54:B58"/>
    <mergeCell ref="B60:B63"/>
    <mergeCell ref="B64:B65"/>
    <mergeCell ref="B66:B68"/>
    <mergeCell ref="B69:B75"/>
    <mergeCell ref="B76:B81"/>
    <mergeCell ref="B125:B131"/>
    <mergeCell ref="B132:B135"/>
    <mergeCell ref="B136:B142"/>
    <mergeCell ref="B144:B150"/>
    <mergeCell ref="B151:B154"/>
    <mergeCell ref="B155:B160"/>
    <mergeCell ref="B162:B163"/>
    <mergeCell ref="B164:B179"/>
    <mergeCell ref="B180:B186"/>
    <mergeCell ref="B187:B193"/>
    <mergeCell ref="C3:C4"/>
    <mergeCell ref="C162:C163"/>
    <mergeCell ref="G5:G8"/>
    <mergeCell ref="G9:G13"/>
    <mergeCell ref="G14:G18"/>
    <mergeCell ref="G19:G20"/>
    <mergeCell ref="G21:G24"/>
    <mergeCell ref="G25:G29"/>
    <mergeCell ref="G30:G33"/>
    <mergeCell ref="G35:G36"/>
    <mergeCell ref="G37:G40"/>
    <mergeCell ref="G41:G45"/>
    <mergeCell ref="G46:G49"/>
    <mergeCell ref="G50:G53"/>
    <mergeCell ref="G54:G58"/>
    <mergeCell ref="G60:G63"/>
    <mergeCell ref="G64:G65"/>
    <mergeCell ref="G66:G68"/>
    <mergeCell ref="G69:G75"/>
    <mergeCell ref="G76:G81"/>
    <mergeCell ref="G125:G131"/>
    <mergeCell ref="G132:G135"/>
    <mergeCell ref="G136:G142"/>
    <mergeCell ref="G144:G150"/>
    <mergeCell ref="G151:G154"/>
    <mergeCell ref="G155:G160"/>
    <mergeCell ref="G164:G179"/>
    <mergeCell ref="G180:G186"/>
    <mergeCell ref="G187:G193"/>
    <mergeCell ref="H5:H8"/>
    <mergeCell ref="H9:H13"/>
    <mergeCell ref="H14:H18"/>
    <mergeCell ref="H19:H20"/>
    <mergeCell ref="H21:H24"/>
    <mergeCell ref="H25:H29"/>
    <mergeCell ref="H30:H33"/>
    <mergeCell ref="H35:H36"/>
    <mergeCell ref="H37:H40"/>
    <mergeCell ref="H41:H45"/>
    <mergeCell ref="H46:H49"/>
    <mergeCell ref="H50:H53"/>
    <mergeCell ref="H54:H58"/>
    <mergeCell ref="H60:H63"/>
    <mergeCell ref="H64:H65"/>
    <mergeCell ref="H66:H68"/>
    <mergeCell ref="H69:H75"/>
    <mergeCell ref="H76:H81"/>
    <mergeCell ref="H125:H131"/>
    <mergeCell ref="H132:H135"/>
    <mergeCell ref="H136:H142"/>
    <mergeCell ref="H144:H150"/>
    <mergeCell ref="H151:H154"/>
    <mergeCell ref="H155:H160"/>
    <mergeCell ref="H164:H179"/>
    <mergeCell ref="H180:H186"/>
    <mergeCell ref="H187:H193"/>
    <mergeCell ref="I5:I8"/>
    <mergeCell ref="I9:I13"/>
    <mergeCell ref="I14:I18"/>
    <mergeCell ref="I19:I20"/>
    <mergeCell ref="I21:I24"/>
    <mergeCell ref="I25:I29"/>
    <mergeCell ref="I30:I33"/>
    <mergeCell ref="I35:I36"/>
    <mergeCell ref="I37:I40"/>
    <mergeCell ref="I41:I45"/>
    <mergeCell ref="I46:I49"/>
    <mergeCell ref="I50:I53"/>
    <mergeCell ref="I54:I58"/>
    <mergeCell ref="I60:I63"/>
    <mergeCell ref="I64:I65"/>
    <mergeCell ref="I66:I68"/>
    <mergeCell ref="I69:I75"/>
    <mergeCell ref="I76:I81"/>
    <mergeCell ref="I125:I131"/>
    <mergeCell ref="I132:I135"/>
    <mergeCell ref="I136:I142"/>
    <mergeCell ref="I144:I150"/>
    <mergeCell ref="I151:I154"/>
    <mergeCell ref="I155:I160"/>
    <mergeCell ref="I164:I179"/>
    <mergeCell ref="I180:I186"/>
    <mergeCell ref="I187:I193"/>
    <mergeCell ref="N3:N4"/>
    <mergeCell ref="N5:N8"/>
    <mergeCell ref="N9:N13"/>
    <mergeCell ref="N14:N18"/>
    <mergeCell ref="N19:N20"/>
    <mergeCell ref="N21:N24"/>
    <mergeCell ref="N25:N29"/>
    <mergeCell ref="N30:N33"/>
    <mergeCell ref="N35:N36"/>
    <mergeCell ref="N37:N40"/>
    <mergeCell ref="N41:N45"/>
    <mergeCell ref="N46:N49"/>
    <mergeCell ref="N50:N53"/>
    <mergeCell ref="N54:N58"/>
    <mergeCell ref="N60:N63"/>
    <mergeCell ref="N64:N65"/>
    <mergeCell ref="N66:N68"/>
    <mergeCell ref="N69:N75"/>
    <mergeCell ref="N76:N81"/>
    <mergeCell ref="N82:N103"/>
    <mergeCell ref="N104:N124"/>
    <mergeCell ref="N125:N131"/>
    <mergeCell ref="N132:N135"/>
    <mergeCell ref="N136:N142"/>
    <mergeCell ref="N144:N150"/>
    <mergeCell ref="N151:N154"/>
    <mergeCell ref="N155:N160"/>
    <mergeCell ref="N162:N163"/>
    <mergeCell ref="N164:N179"/>
    <mergeCell ref="N180:N186"/>
    <mergeCell ref="N187:N193"/>
  </mergeCells>
  <pageMargins left="0.629166666666667" right="0.313888888888889" top="1" bottom="0.354166666666667" header="0.5" footer="0.354166666666667"/>
  <pageSetup paperSize="8"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ahb-pc8</dc:creator>
  <cp:lastModifiedBy>天涯</cp:lastModifiedBy>
  <dcterms:created xsi:type="dcterms:W3CDTF">2019-09-30T07:52:00Z</dcterms:created>
  <dcterms:modified xsi:type="dcterms:W3CDTF">2025-02-06T08:31:19Z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23F53A9BB932481396AC8CE626E37FE8</vt:lpwstr>
  </property>
</Properties>
</file>